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1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65" yWindow="1905" windowWidth="11070" windowHeight="10710" tabRatio="880" firstSheet="9" activeTab="14"/>
  </bookViews>
  <sheets>
    <sheet name="10.1 PI-2014" sheetId="1" r:id="rId1"/>
    <sheet name="10.2 Efectiva" sheetId="2" r:id="rId2"/>
    <sheet name="10.3 Incre PI 2014" sheetId="3" r:id="rId3"/>
    <sheet name="10.4 Prod" sheetId="4" r:id="rId4"/>
    <sheet name="10.5 Lineas" sheetId="5" r:id="rId5"/>
    <sheet name="10.6 VENTAS" sheetId="6" r:id="rId6"/>
    <sheet name="10.7 FACTURAC-2014" sheetId="7" r:id="rId7"/>
    <sheet name="10.8 PRECIO MEDIO" sheetId="8" r:id="rId8"/>
    <sheet name="10.9 VENTAS-CIIU-2014" sheetId="9" r:id="rId9"/>
    <sheet name="10.10 FACT-SECTOR" sheetId="10" r:id="rId10"/>
    <sheet name="10.11 PM-SECTOR" sheetId="11" r:id="rId11"/>
    <sheet name="10.12 CONSUMO_2014 " sheetId="12" r:id="rId12"/>
    <sheet name="10.13 CLIENTES-2014" sheetId="13" r:id="rId13"/>
    <sheet name="10.14 -10.15  y 10.16" sheetId="14" r:id="rId14"/>
    <sheet name="10.17.1 Consol Invers" sheetId="15" r:id="rId15"/>
    <sheet name="10.17.2 Inversion Privada" sheetId="16" r:id="rId16"/>
    <sheet name="10.17.3 y 4 Publica y Gub." sheetId="17" r:id="rId17"/>
    <sheet name="10.17.5 Evo.Graficos" sheetId="18" r:id="rId18"/>
    <sheet name="10.18 CMg" sheetId="19" r:id="rId19"/>
  </sheets>
  <externalReferences>
    <externalReference r:id="rId22"/>
    <externalReference r:id="rId23"/>
  </externalReferences>
  <definedNames>
    <definedName name="_xlnm.Print_Area" localSheetId="0">'10.1 PI-2014'!$A$2:$O$93</definedName>
    <definedName name="_xlnm.Print_Area" localSheetId="9">'10.10 FACT-SECTOR'!$A$1:$I$60</definedName>
    <definedName name="_xlnm.Print_Area" localSheetId="10">'10.11 PM-SECTOR'!$A$1:$H$63</definedName>
    <definedName name="_xlnm.Print_Area" localSheetId="11">'10.12 CONSUMO_2014 '!$A$2:$H$83</definedName>
    <definedName name="_xlnm.Print_Area" localSheetId="12">'10.13 CLIENTES-2014'!$A$2:$P$80</definedName>
    <definedName name="_xlnm.Print_Area" localSheetId="13">'10.14 -10.15  y 10.16'!$A$1:$N$99</definedName>
    <definedName name="_xlnm.Print_Area" localSheetId="14">'10.17.1 Consol Invers'!$A$1:$P$106</definedName>
    <definedName name="_xlnm.Print_Area" localSheetId="15">'10.17.2 Inversion Privada'!$A$5:$AB$113</definedName>
    <definedName name="_xlnm.Print_Area" localSheetId="16">'10.17.3 y 4 Publica y Gub.'!$A$6:$AB$54</definedName>
    <definedName name="_xlnm.Print_Area" localSheetId="17">'10.17.5 Evo.Graficos'!$B$6:$AB$231</definedName>
    <definedName name="_xlnm.Print_Area" localSheetId="18">'10.18 CMg'!$AL$4:$AY$45</definedName>
    <definedName name="_xlnm.Print_Area" localSheetId="1">'10.2 Efectiva'!$A$2:$O$90</definedName>
    <definedName name="_xlnm.Print_Area" localSheetId="2">'10.3 Incre PI 2014'!$A$1:$N$65</definedName>
    <definedName name="_xlnm.Print_Area" localSheetId="3">'10.4 Prod'!$A$1:$O$93</definedName>
    <definedName name="_xlnm.Print_Area" localSheetId="4">'10.5 Lineas'!$A$3:$J$65</definedName>
    <definedName name="_xlnm.Print_Area" localSheetId="5">'10.6 VENTAS'!$A$6:$K$87</definedName>
    <definedName name="_xlnm.Print_Area" localSheetId="6">'10.7 FACTURAC-2014'!$A$4:$K$84</definedName>
    <definedName name="_xlnm.Print_Area" localSheetId="7">'10.8 PRECIO MEDIO'!$A$6:$K$85</definedName>
    <definedName name="_xlnm.Print_Area" localSheetId="8">'10.9 VENTAS-CIIU-2014'!$A$1:$M$63</definedName>
    <definedName name="AYACUCHO" localSheetId="0">'[2]X_DEPA'!#REF!</definedName>
    <definedName name="AYACUCHO" localSheetId="3">'[2]X_DEPA'!#REF!</definedName>
    <definedName name="AYACUCHO">'[2]X_DEPA'!#REF!</definedName>
    <definedName name="LIMA_I" localSheetId="0">'[2]X_DEPA'!#REF!</definedName>
    <definedName name="LIMA_I" localSheetId="3">'[2]X_DEPA'!#REF!</definedName>
    <definedName name="LIMA_I">'[2]X_DEPA'!#REF!</definedName>
    <definedName name="LIMA_II" localSheetId="0">'[2]X_DEPA'!#REF!</definedName>
    <definedName name="LIMA_II" localSheetId="3">'[2]X_DEPA'!#REF!</definedName>
    <definedName name="LIMA_II">'[2]X_DEPA'!#REF!</definedName>
    <definedName name="PIURA_I" localSheetId="0">'[2]X_DEPA'!#REF!</definedName>
    <definedName name="PIURA_I" localSheetId="3">'[2]X_DEPA'!#REF!</definedName>
    <definedName name="PIURA_I">'[2]X_DEPA'!#REF!</definedName>
  </definedNames>
  <calcPr fullCalcOnLoad="1"/>
</workbook>
</file>

<file path=xl/sharedStrings.xml><?xml version="1.0" encoding="utf-8"?>
<sst xmlns="http://schemas.openxmlformats.org/spreadsheetml/2006/main" count="839" uniqueCount="327">
  <si>
    <t>Total</t>
  </si>
  <si>
    <t>Hidro</t>
  </si>
  <si>
    <t>Termo</t>
  </si>
  <si>
    <t>TOTAL</t>
  </si>
  <si>
    <t>Hidráulica</t>
  </si>
  <si>
    <t>Térmica</t>
  </si>
  <si>
    <t>Eólica</t>
  </si>
  <si>
    <t>-----</t>
  </si>
  <si>
    <t>Regulados</t>
  </si>
  <si>
    <t>Libres</t>
  </si>
  <si>
    <t>Distribuidoras</t>
  </si>
  <si>
    <t>Generadoras</t>
  </si>
  <si>
    <t xml:space="preserve">Total </t>
  </si>
  <si>
    <t>Generación</t>
  </si>
  <si>
    <t>Mercado eléctrico</t>
  </si>
  <si>
    <t>Uso propio</t>
  </si>
  <si>
    <t>Regulado</t>
  </si>
  <si>
    <t>Libre</t>
  </si>
  <si>
    <t>Año</t>
  </si>
  <si>
    <t>Mercado Libre</t>
  </si>
  <si>
    <t>Mercado Regulado</t>
  </si>
  <si>
    <t>MAT</t>
  </si>
  <si>
    <t>AT</t>
  </si>
  <si>
    <t>MT</t>
  </si>
  <si>
    <t>BT</t>
  </si>
  <si>
    <t>Total Libre</t>
  </si>
  <si>
    <t>Total Regulado</t>
  </si>
  <si>
    <t>Clientes</t>
  </si>
  <si>
    <t>Totales</t>
  </si>
  <si>
    <t>PERÍODO</t>
  </si>
  <si>
    <t xml:space="preserve">(60 - 70) </t>
  </si>
  <si>
    <t xml:space="preserve">(70 - 80) </t>
  </si>
  <si>
    <t xml:space="preserve">(80 - 90) </t>
  </si>
  <si>
    <t>Total General</t>
  </si>
  <si>
    <t>Potencia Instalada  (MW)</t>
  </si>
  <si>
    <t>Incrementos periódicos de potencia instalada  (%)</t>
  </si>
  <si>
    <t>Crecimiento medio anual de la potencia instalada  (%)</t>
  </si>
  <si>
    <t xml:space="preserve">(90 - 00) </t>
  </si>
  <si>
    <t>Total-ML</t>
  </si>
  <si>
    <t>Total-MR</t>
  </si>
  <si>
    <t>Industrial</t>
  </si>
  <si>
    <t>Comercial</t>
  </si>
  <si>
    <t>Residencial</t>
  </si>
  <si>
    <t>Alumbrado Público</t>
  </si>
  <si>
    <t>%</t>
  </si>
  <si>
    <r>
      <t xml:space="preserve">D </t>
    </r>
    <r>
      <rPr>
        <b/>
        <sz val="10"/>
        <color indexed="9"/>
        <rFont val="Arial"/>
        <family val="2"/>
      </rPr>
      <t>Anual</t>
    </r>
  </si>
  <si>
    <t>Mercado Eléctrico</t>
  </si>
  <si>
    <t>Uso Propio</t>
  </si>
  <si>
    <t xml:space="preserve">10.3   INCREMENTO Y CRECIMIENTO MEDIO ANUAL DE LA POTENCIA INSTALADA POR DÉCADAS </t>
  </si>
  <si>
    <t>10.4.     EVOLUCIÓN DE LA PRODUCCIÓN DE ENERGÍA ELÉCTRICA (GW.h)</t>
  </si>
  <si>
    <t>Tipo de Mercado</t>
  </si>
  <si>
    <t>Facturación a Cliente Final</t>
  </si>
  <si>
    <t>Consumo</t>
  </si>
  <si>
    <t>Ventas a Cliente Final</t>
  </si>
  <si>
    <t>de uso propio</t>
  </si>
  <si>
    <t>10.13 EVOLUCIÓN DEL NÚMERO DE CLIENTES POR NIVEL DE TENSIÓN</t>
  </si>
  <si>
    <t>(*) Fuente: Osinerg-GART, DGE/MINEM</t>
  </si>
  <si>
    <t xml:space="preserve">(00 - 10) </t>
  </si>
  <si>
    <t>AÑO</t>
  </si>
  <si>
    <t>Solar</t>
  </si>
  <si>
    <t>10.2.     EVOLUCIÓN DE LA POTENCIA EFECTIVA (MW)</t>
  </si>
  <si>
    <t>Precio Medio por Sector Económico</t>
  </si>
  <si>
    <t>(*) Corresponde al cociente de la facturación y venta total de energía eléctrica</t>
  </si>
  <si>
    <t>Precio Medio *</t>
  </si>
  <si>
    <t>10. 12   EVOLUCIÓN DEL CONSUMO DE ENERGÍA ELÉCTRICA (GW.h)</t>
  </si>
  <si>
    <t>10.14    EVOLUCIÓN DEL NÚMERO DE TRABAJADORES</t>
  </si>
  <si>
    <t>TRABAJADORES POR ACTIVIDAD</t>
  </si>
  <si>
    <t>Transmisoras</t>
  </si>
  <si>
    <t>10.15    EVOLUCIÓN DE LAS PÉRDIDAS EN DISTRIBUCIÓN (%)</t>
  </si>
  <si>
    <t>Pérdidas (%)</t>
  </si>
  <si>
    <t>10.16    EVOLUCIÓN DE LA MÁXIMA DEMANDA DEL SEIN (MW)</t>
  </si>
  <si>
    <t>Tasa Anual (%)</t>
  </si>
  <si>
    <t>1997*</t>
  </si>
  <si>
    <t>2001**</t>
  </si>
  <si>
    <t>(**) Se interconecta los sistemas SICN y SIS para conformar el Sistema Eléctrico Interconectado Nacional - SEIN</t>
  </si>
  <si>
    <t>(*) De 1997 a 1999 : SICN + SIS</t>
  </si>
  <si>
    <t xml:space="preserve">Máxima Demanda (MW) </t>
  </si>
  <si>
    <t>-</t>
  </si>
  <si>
    <t>TARIFA DE BARRA (S/.)</t>
  </si>
  <si>
    <t>COSTO MARGINAL($)</t>
  </si>
  <si>
    <t>TARIFA DE BARRA ($)</t>
  </si>
  <si>
    <t>MES-AÑ0</t>
  </si>
  <si>
    <t>CMGM</t>
  </si>
  <si>
    <t>T.CAMBIO</t>
  </si>
  <si>
    <t>T. BARRA</t>
  </si>
  <si>
    <t>HP</t>
  </si>
  <si>
    <t>HFP</t>
  </si>
  <si>
    <t>PONDERADO</t>
  </si>
  <si>
    <t>PUNTA</t>
  </si>
  <si>
    <t>MEDIA</t>
  </si>
  <si>
    <t>BASE</t>
  </si>
  <si>
    <t>T. B.  HP</t>
  </si>
  <si>
    <t>T. B.  HFP</t>
  </si>
  <si>
    <t>T. B. PONDERADO</t>
  </si>
  <si>
    <t>(S/./KWh)</t>
  </si>
  <si>
    <t>($./KWh)</t>
  </si>
  <si>
    <t>($./MWh)</t>
  </si>
  <si>
    <t>(S/./kW.h)</t>
  </si>
  <si>
    <t>($/./MWh)</t>
  </si>
  <si>
    <t>Ene</t>
  </si>
  <si>
    <t>Mes</t>
  </si>
  <si>
    <t>Costo Marginal</t>
  </si>
  <si>
    <t>Precio en Barra</t>
  </si>
  <si>
    <t>Incrementos</t>
  </si>
  <si>
    <t>Feb</t>
  </si>
  <si>
    <t>(US$/MW.h)</t>
  </si>
  <si>
    <t>CMg</t>
  </si>
  <si>
    <t>Tbarra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</si>
  <si>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</si>
  <si>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</si>
  <si>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</si>
  <si>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</si>
  <si>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</si>
  <si>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</si>
  <si>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</si>
  <si>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</si>
  <si>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</si>
  <si>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</si>
  <si>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DIC</t>
  </si>
  <si>
    <t>Set</t>
  </si>
  <si>
    <t>Nº</t>
  </si>
  <si>
    <t>Actividad de generación</t>
  </si>
  <si>
    <t>AGROINDUSTRIAL PARAMONGA</t>
  </si>
  <si>
    <t>AGUAS Y ENERGÍA PERÚ S.A.</t>
  </si>
  <si>
    <t>CEMENTOS LIMA S.A.</t>
  </si>
  <si>
    <t>CEMENTOS NORTE PACASMAYO ENERGÍA S.A.</t>
  </si>
  <si>
    <t>COMPAÑÍA ELÉCTRICA EL PLATANAL S.A.</t>
  </si>
  <si>
    <t>DUKE ENERGY INTERNATIONAL EGENOR S. EN C. POR A.</t>
  </si>
  <si>
    <t>EDEGEL S.A.A.</t>
  </si>
  <si>
    <t>ELECTRICIDAD ANDINA S.A.</t>
  </si>
  <si>
    <t>EMPRESA ADMINISTRADORA CHUNGAR S.A.C.</t>
  </si>
  <si>
    <t>EMPRESA DE GENERACIÓN ELÉCTRICA CHÉVES S.A.</t>
  </si>
  <si>
    <t>EMPRESA DE GENERACIÓN ELÉCTRICA HUANZA S.A.</t>
  </si>
  <si>
    <t>EMPRESA DE GENERACIÓN HIDROELÉCTRICA DEL CUZCO S.A.</t>
  </si>
  <si>
    <t>EMPRESA DE GENERACIÓN MACUSANI S.A.</t>
  </si>
  <si>
    <t>EMPRESA DE GENERACIÓN TERMOELÉCTRICA VENTANILLA S.A.</t>
  </si>
  <si>
    <t>EMPRESA ELÉCTRICA DE PIURA S.A. -EEPSA</t>
  </si>
  <si>
    <t>EMPRESA ELECTRICA NUEVA ESPERANZA</t>
  </si>
  <si>
    <t>EMPRESA GEN. Y COMER. DE SERV.PÚB.DE ELECTRICIDAD PANGOA S.A.</t>
  </si>
  <si>
    <t>EMPRESA PERUANA DE INVERSIONES EN ENERGÍAS RENOVABLES S.A.C.</t>
  </si>
  <si>
    <t>ENERGÍA DEL SUR S.A.</t>
  </si>
  <si>
    <t>FENIX POWER</t>
  </si>
  <si>
    <t>GENERACION ELECTRICA ATOCONGO</t>
  </si>
  <si>
    <t>GENERADORA DE ENERGIA DEL PERU S.A.</t>
  </si>
  <si>
    <t xml:space="preserve">GTS  MAJES S.A.C. </t>
  </si>
  <si>
    <t>GTS  REPARTICION S.A.C.</t>
  </si>
  <si>
    <t>HIDROELECTRICA SANTA CRUZ S.A.C</t>
  </si>
  <si>
    <t>HYDRO TAMBORAQUE</t>
  </si>
  <si>
    <t>KALLPA GENERACIÓN S.A.</t>
  </si>
  <si>
    <t>PERUANA DE ENERGÍA S.A.</t>
  </si>
  <si>
    <t>QUITARACSA S.A. EMPRESA DE GENERACIÓN ELÉCTRICA</t>
  </si>
  <si>
    <t xml:space="preserve">SHOUGANG GENERACIÓN ELÉCTRICA S.A.A. </t>
  </si>
  <si>
    <t xml:space="preserve">SINDICATO ENERGÉTICO S.A. </t>
  </si>
  <si>
    <t>SOCIEDAD MINERA CORONA S.A.</t>
  </si>
  <si>
    <t>TARUCANI GENERATING COMPANY S.A.</t>
  </si>
  <si>
    <t>TERMOCHILCA S.A.C.</t>
  </si>
  <si>
    <t>TERMOSELVA S.R.L.</t>
  </si>
  <si>
    <t>Actividad de transmisión</t>
  </si>
  <si>
    <t>CARAVELI  COTAROUSE TRANSMISORA ANDINA S.A.C</t>
  </si>
  <si>
    <t xml:space="preserve">CONSORCIO ENERGÉTICO DE HUANCAVELICA S.A. </t>
  </si>
  <si>
    <t>CONSORCIO MINERO HORIZONTE S.A.</t>
  </si>
  <si>
    <t>CONSORCIO TRANSMANTARO S.A.</t>
  </si>
  <si>
    <t>ETENORTE S.R.L.</t>
  </si>
  <si>
    <t>ETESELVA S.R.L.</t>
  </si>
  <si>
    <t>INTERCONEXIÓN ELÉCTRICA ISA PERÚ S.A.</t>
  </si>
  <si>
    <t>MINERA AURÍFERA RETAMAS S.A.</t>
  </si>
  <si>
    <t>Actividad de distribución</t>
  </si>
  <si>
    <t xml:space="preserve">CONSORCIO ELÉCTRICO DE VILLACURI S.A.C. </t>
  </si>
  <si>
    <t>EDELNOR S.A.A.</t>
  </si>
  <si>
    <t>ELECTRO PANGOA S.A.</t>
  </si>
  <si>
    <t>ELECTROCENTRO S.A.</t>
  </si>
  <si>
    <r>
      <t xml:space="preserve">ELECTRODUNAS S.A.A. </t>
    </r>
    <r>
      <rPr>
        <vertAlign val="superscript"/>
        <sz val="10"/>
        <rFont val="Tahoma"/>
        <family val="2"/>
      </rPr>
      <t>(2)</t>
    </r>
  </si>
  <si>
    <t xml:space="preserve">ELECTRONOROESTE S.A. </t>
  </si>
  <si>
    <t xml:space="preserve">ELECTRONORTE S.A. </t>
  </si>
  <si>
    <t>EMPRESA DE SERV.ELÉCTRICOS MUNICIPALES DE PARAMONGA S.A.</t>
  </si>
  <si>
    <t>EMPRESA MUNICIPAL DE SERVICIO ELÉCTRICO DE TOCACHE S.A.</t>
  </si>
  <si>
    <t xml:space="preserve">EMPRESA MUNICIPAL DE SERVICIOS ELÉCTRICOS UTCUBAMBA S.A.C. </t>
  </si>
  <si>
    <t>HIDRANDINA S.A.</t>
  </si>
  <si>
    <t>LUZ DEL SUR S.A.A.</t>
  </si>
  <si>
    <t xml:space="preserve">SERVICIOS ELECTRICOS RIOJA S.A. </t>
  </si>
  <si>
    <r>
      <t>1</t>
    </r>
    <r>
      <rPr>
        <sz val="10"/>
        <rFont val="Arial"/>
        <family val="2"/>
      </rPr>
      <t xml:space="preserve"> Globeleq Perú S.A. realizó inversiones hasta junio del 2007, a partir de julio 2007 opera con el nombre de Kallpa Generación S.A.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</si>
  <si>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 partir de abril del año 2010 Electro Sur Medio S.A.A. cambia denominación a Electrodunas S.A.A.</t>
    </r>
  </si>
  <si>
    <t>ELECTROANDES S.A.*</t>
  </si>
  <si>
    <t>ELECTROLIMA</t>
  </si>
  <si>
    <t>ELECTROPERÚ S.A.</t>
  </si>
  <si>
    <t xml:space="preserve">EMPRESA DE GENERACIÓN DE ENERGÍA ELÉCTRICA DEL CENTRO S.A. </t>
  </si>
  <si>
    <t>EMPRESA DE GENERACIÓN ELÉCTRICA DE AREQUIPA S.A.</t>
  </si>
  <si>
    <t xml:space="preserve">EMPRESA DE GENERACIÓN ELÉCTRICA DEL SUR S.A. </t>
  </si>
  <si>
    <t xml:space="preserve">EMPRESA DE GENERACIÓN ELÉCTRICA MACHUPICCHU S.A. </t>
  </si>
  <si>
    <t>EMPRESA DE GENERACIÓN ELÉCTRICA SAN GABAN S.A.</t>
  </si>
  <si>
    <t>EMPRESA DE TRANSMISIÓN ELÉCTRICA DEL CENTRO NORTE S.A.</t>
  </si>
  <si>
    <t>EMPRESA DE TRANSMISIÓN ELÉCTRICA DEL SUR S.A.</t>
  </si>
  <si>
    <t>INADE - PROYECTO ESPECIAL OLMOS TINAJONES</t>
  </si>
  <si>
    <t>ELECTRO ORIENTE S.A.</t>
  </si>
  <si>
    <t>ELECTRO PUNO S.A.A.</t>
  </si>
  <si>
    <t>ELECTRO SUR ESTE S.A.A.</t>
  </si>
  <si>
    <t>ELECTRO SUR MEDIO S.A.A.</t>
  </si>
  <si>
    <t>ELECTRO TOCACHE S.A.</t>
  </si>
  <si>
    <t>ELECTRO UCAYALI S.A.</t>
  </si>
  <si>
    <t>ELECTROSUR S.A.</t>
  </si>
  <si>
    <t>ELECTRO NORTE MEDIO - HIDRANDINA S.A.</t>
  </si>
  <si>
    <t>INADE - PROYECTO ESPECIAL CHAVIMOCHIC</t>
  </si>
  <si>
    <t>SOCIEDAD ELÉCTRICA DEL SUR OESTE S.A. (SEAL)</t>
  </si>
  <si>
    <t>(*) En Febrero de 2010 Electroandes cambia su razón social a SN Power Perú S.A. (Privado)</t>
  </si>
  <si>
    <r>
      <t>(*)</t>
    </r>
    <r>
      <rPr>
        <sz val="9"/>
        <rFont val="Arial"/>
        <family val="2"/>
      </rPr>
      <t xml:space="preserve"> La DEP y el FONER se fusionaron en mayo de 2007 creándose la Dirección General de Electrificación Rural - DGER</t>
    </r>
  </si>
  <si>
    <t>Privada</t>
  </si>
  <si>
    <t>Total Inversiones*</t>
  </si>
  <si>
    <t>* Se incluyen las inversiones estatales, privadas y en electrificación rural</t>
  </si>
  <si>
    <t>Empresa</t>
  </si>
  <si>
    <t>Estatal</t>
  </si>
  <si>
    <t>Rural (*)</t>
  </si>
  <si>
    <t>ANDES GENERATING CORPORATION S.A.C.</t>
  </si>
  <si>
    <t>BIOENERGÍA DEL CHIRA S.A.</t>
  </si>
  <si>
    <t>CENTRAL HIDROELECTRICA LANGUI S.A.</t>
  </si>
  <si>
    <t>CENTRAL HIDROELECTRICA SAN HILARION S.A.</t>
  </si>
  <si>
    <t>ECO ENERGY SAC</t>
  </si>
  <si>
    <t>ELECTRICA RIO DOBLE SA</t>
  </si>
  <si>
    <t>ELECTRICA SANTA ROSA S.A.C.</t>
  </si>
  <si>
    <t>HIDROCAÑETE SA</t>
  </si>
  <si>
    <t>HOT ROCK PERU SA</t>
  </si>
  <si>
    <t>T-SOLAR SAC</t>
  </si>
  <si>
    <t>RED DE ENERGÍA DEL PERÚ S.A.  (REP)</t>
  </si>
  <si>
    <t>RED ELÉCTRICA DEL SUR S.A.        (REDESUR)</t>
  </si>
  <si>
    <t>EMPRESA DE DISTRIBUCION ELECTRICA DE CAÑETE  S.A.</t>
  </si>
  <si>
    <t>Costo marginal de corto plazo y tarifa en barra, 2006-2013 (US$ por MW.h).</t>
  </si>
  <si>
    <t>NI-ME</t>
  </si>
  <si>
    <t>Eólico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</si>
  <si>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</si>
  <si>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</si>
  <si>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</si>
  <si>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</si>
  <si>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</si>
  <si>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</si>
  <si>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</si>
  <si>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</si>
  <si>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</si>
  <si>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</si>
  <si>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</si>
  <si>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</si>
  <si>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</si>
  <si>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</si>
  <si>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CHINANGO S.A.C.</t>
  </si>
  <si>
    <t>CERRO DEL AGUILA S.A.</t>
  </si>
  <si>
    <t>CORPORACION MINERA DEL PERU S.A.</t>
  </si>
  <si>
    <t>LA VIRGEN S.A.C.</t>
  </si>
  <si>
    <r>
      <t xml:space="preserve">GLOBELEQ PERU S.A. </t>
    </r>
    <r>
      <rPr>
        <vertAlign val="superscript"/>
        <sz val="10"/>
        <rFont val="Tahoma"/>
        <family val="2"/>
      </rPr>
      <t>(1)</t>
    </r>
  </si>
  <si>
    <t>ABENGOA S.A.</t>
  </si>
  <si>
    <t>DISTRIBUIDORAS</t>
  </si>
  <si>
    <t>TRANSMISORAS</t>
  </si>
  <si>
    <t>PRIVADA</t>
  </si>
  <si>
    <t>GENERADORAS</t>
  </si>
  <si>
    <t>10.6.    EVOLUCIÓN DE  VENTAS  DE  ENERGÍA  ELÉCTRICA  A CLIENTE FINAL (GW.h)</t>
  </si>
  <si>
    <t>10.7.  EVOLUCIÓN DE FACTURACIÓN DE ENERGÍA ELÉCTRICA  A CLIENTE FINAL (miles US$)</t>
  </si>
  <si>
    <t>10.8  PRECIO MEDIO DE ENERGÍA ELÉCTRICA  POR TIPO DE EMPRESA Y MERCADO (cent. US$ / kW.h)</t>
  </si>
  <si>
    <t>10.9.    EVOLUCIÓN DE VENTAS DE ENERGÍA ELÉCTRICA POR SECTOR ECONÓMICO (GW.h)</t>
  </si>
  <si>
    <t>10.10  EVOLUCIÓN DE FACTURACIÓN DE ENERGÍA ELÉCTRICA POR SECTOR ECONÓMICO (miles US$)</t>
  </si>
  <si>
    <t>10.11  PRECIO MEDIO DE ENERGÍA ELÉCTRICA POR SECTOR ECONÓMICO (cent. US$/kW.h) *</t>
  </si>
  <si>
    <t>10.18 EVOLUCIÓN DEL COSTO MARGINAL Y LA TARIFA EN BARRA (US$/MW.h)</t>
  </si>
  <si>
    <t>10.5  EVOLUCIÓN DE LA LONGITUD TOTAL DE LÍNEAS DE TRANSMISIÓN A NIVEL NACIONAL (km)</t>
  </si>
  <si>
    <t>Longitud de Líneas de Transmisión</t>
  </si>
  <si>
    <t>Nivel de Tensión ( kV )</t>
  </si>
  <si>
    <t>30 - 50</t>
  </si>
  <si>
    <t>60 - 69</t>
  </si>
  <si>
    <t>2011*</t>
  </si>
  <si>
    <t>(*) Entra en operación la primera línea en 500 kV  Chilca-La Planicie-Zapallal perteneciente a la empresa ISA Perú S.A.</t>
  </si>
  <si>
    <t xml:space="preserve"> </t>
  </si>
  <si>
    <t>Total Empresas</t>
  </si>
  <si>
    <t>Empresas Estatales</t>
  </si>
  <si>
    <t>Empresas Privadas</t>
  </si>
  <si>
    <r>
      <t>Electrificación Rural</t>
    </r>
    <r>
      <rPr>
        <b/>
        <vertAlign val="superscript"/>
        <sz val="10"/>
        <color indexed="9"/>
        <rFont val="Arial"/>
        <family val="2"/>
      </rPr>
      <t>1</t>
    </r>
  </si>
  <si>
    <t xml:space="preserve">Inversión </t>
  </si>
  <si>
    <t>Estatal (*)</t>
  </si>
  <si>
    <t>2001*</t>
  </si>
  <si>
    <t>Incremento 14/13</t>
  </si>
  <si>
    <t>Variación media 14/09</t>
  </si>
  <si>
    <t>Incremento 14/04</t>
  </si>
  <si>
    <t>Variación media 14/04</t>
  </si>
  <si>
    <r>
      <t>1</t>
    </r>
    <r>
      <rPr>
        <sz val="8"/>
        <rFont val="Arial"/>
        <family val="2"/>
      </rPr>
      <t xml:space="preserve"> Corresponde a inversiones ejecutadas por la Dirección General de Electrificación Rural.</t>
    </r>
  </si>
  <si>
    <t>(*) En el año 2001 se interconectan los sistemas SICN y SIS para conformar el Sistema Eléctrico Interconectado Nacional - SEIN</t>
  </si>
  <si>
    <t>(**) Información Preliminar</t>
  </si>
  <si>
    <t>Total Estatales</t>
  </si>
  <si>
    <t>Transmisión</t>
  </si>
  <si>
    <t>Distribución</t>
  </si>
  <si>
    <t>(*) No incluye inversiones ejecutadas por la Dirección General de Electrificación Rural - DGER</t>
  </si>
  <si>
    <t>Total Privadas</t>
  </si>
  <si>
    <t>DGER</t>
  </si>
  <si>
    <t>PARQUE EÓLICO MARCONA S.A.C.</t>
  </si>
  <si>
    <t>( * ) En el año 2001 se interconectan los sistemas SICN y SIS para conformar el Sistema Eléctrico Interconectado Nacional - SEIN</t>
  </si>
  <si>
    <t>Mercado Electrico</t>
  </si>
  <si>
    <t>---</t>
  </si>
  <si>
    <t>NOTA: El cuadro presenta la longitud lineal del recorrido, no considera el número de ternas.</t>
  </si>
  <si>
    <t>10.1.     EVOLUCIÓN DE LA POTENCIA INSTALADA (MW)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</si>
  <si>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el año 2010 Cahua fue absorbida por Electroandes</t>
    </r>
  </si>
  <si>
    <t>EMPRESA DE GENERACIÓN ELÉCTRICA CANCHAYLLO S.A.C.</t>
  </si>
  <si>
    <t xml:space="preserve">EMPRESA DE GENERACIÓN ELÉCTRICA JUNÍN S.A.C. </t>
  </si>
  <si>
    <t>EMPRESA DE GENERACION HUALLAGA S.A.</t>
  </si>
  <si>
    <t>ENERGÍA EÓLICA SA</t>
  </si>
  <si>
    <t xml:space="preserve">MOQUEGUA FV S.A.C. </t>
  </si>
  <si>
    <t>HIDROCAÑETE S.A.</t>
  </si>
  <si>
    <t>MAJA ENERGIA SAC</t>
  </si>
  <si>
    <t>SOLARPACK S.A.</t>
  </si>
  <si>
    <t xml:space="preserve">PETRAMAS S.A. </t>
  </si>
  <si>
    <t>PARQUE EÓLICO TRES HERMANAS S.A.C. (COBRA PERÚ)</t>
  </si>
  <si>
    <r>
      <t>EMPRESA DE GENERACIÓN ELÉCTRICA CAHUA S.A.</t>
    </r>
    <r>
      <rPr>
        <vertAlign val="superscript"/>
        <sz val="10"/>
        <rFont val="Tahoma"/>
        <family val="2"/>
      </rPr>
      <t xml:space="preserve"> (3)</t>
    </r>
  </si>
  <si>
    <r>
      <t xml:space="preserve">STRATKRAFT PERÚ S.A. </t>
    </r>
    <r>
      <rPr>
        <vertAlign val="superscript"/>
        <sz val="10"/>
        <rFont val="Tahoma"/>
        <family val="2"/>
      </rPr>
      <t>(4)</t>
    </r>
  </si>
  <si>
    <t>PROYECTO ESPECIAL CHAVIMOCHIC</t>
  </si>
  <si>
    <t>Pública</t>
  </si>
  <si>
    <t>Inversiones ejecutadas por la Direccion General de Electrificación Rural</t>
  </si>
  <si>
    <t xml:space="preserve">(10 - 14) </t>
  </si>
  <si>
    <t>(60 - 14)</t>
  </si>
  <si>
    <t>Alumbrado Publico</t>
  </si>
  <si>
    <t>Variación 14/13</t>
  </si>
  <si>
    <t>Media anual 14/09</t>
  </si>
  <si>
    <t>Varación 14/13</t>
  </si>
  <si>
    <t>Media Anual 14/09</t>
  </si>
  <si>
    <t>Media Anual 14/04</t>
  </si>
  <si>
    <t>14</t>
  </si>
  <si>
    <t>Variación 14/04</t>
  </si>
  <si>
    <t>10.17.2  Inversiones ejecutadas por empresas privadas 1995 - 2014 (miles de US$)</t>
  </si>
  <si>
    <t>10.17.3  Inversiones ejecutadas por empresas estatales : Período 1995 - 2014 (miles de US$)</t>
  </si>
  <si>
    <r>
      <t xml:space="preserve">10.17.4  Inversiones ejecutadas por la Dirección General de Electrificación Rural </t>
    </r>
    <r>
      <rPr>
        <b/>
        <vertAlign val="superscript"/>
        <sz val="14"/>
        <rFont val="Arial"/>
        <family val="2"/>
      </rPr>
      <t>(*)</t>
    </r>
    <r>
      <rPr>
        <b/>
        <sz val="14"/>
        <rFont val="Arial"/>
        <family val="2"/>
      </rPr>
      <t xml:space="preserve"> : Período 1995 - 2014 (miles de US$)</t>
    </r>
  </si>
  <si>
    <t>10.17.5  Total de Inversiones ejecutadas 1995 - 2014 (millones US$)</t>
  </si>
  <si>
    <t>10.17.1   Resumen de evolución de inversiones ejecutadas por sector y actividad (millones US $)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</si>
  <si>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En Febrero de 2010 Electroandes cambia su razón social a SN Power Perú S.A, quién a su vez en agosto del 2014 cambia de razón social a Strafkraft Perú S.A.</t>
    </r>
  </si>
  <si>
    <t>10.17.5.1    Total por empresas privadas, estatales y por la Dirección General de Electrificación Rural (millones US$)</t>
  </si>
  <si>
    <t>10.17.5.2    Desagregado por empresas privadas, estatales y por la Dirección General de Electrificación Rural (millones US$)</t>
  </si>
  <si>
    <t>10.17.   EVOLUCIÓN DE INVERSIONES AL 2014</t>
  </si>
</sst>
</file>

<file path=xl/styles.xml><?xml version="1.0" encoding="utf-8"?>
<styleSheet xmlns="http://schemas.openxmlformats.org/spreadsheetml/2006/main">
  <numFmts count="6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%"/>
    <numFmt numFmtId="199" formatCode="0.000%"/>
    <numFmt numFmtId="200" formatCode="#\ ##0.00"/>
    <numFmt numFmtId="201" formatCode="0.0"/>
    <numFmt numFmtId="202" formatCode="#,##0.0"/>
    <numFmt numFmtId="203" formatCode="###\ ###\ ###.00"/>
    <numFmt numFmtId="204" formatCode="0.000"/>
    <numFmt numFmtId="205" formatCode="0.0000"/>
    <numFmt numFmtId="206" formatCode="0.00000"/>
    <numFmt numFmtId="207" formatCode="0.000000"/>
    <numFmt numFmtId="208" formatCode="_-[$€]* #,##0.00_-;\-[$€]* #,##0.00_-;_-[$€]* &quot;-&quot;??_-;_-@_-"/>
    <numFmt numFmtId="209" formatCode="#,##0.000"/>
    <numFmt numFmtId="210" formatCode="#\ #,#00"/>
    <numFmt numFmtId="211" formatCode="#\ ##0"/>
    <numFmt numFmtId="212" formatCode="#\ ##0.0"/>
    <numFmt numFmtId="213" formatCode="##\ ##0.00"/>
    <numFmt numFmtId="214" formatCode="_ * #,##0.0_ ;_ * \-#,##0.0_ ;_ * &quot;-&quot;??_ ;_ @_ "/>
    <numFmt numFmtId="215" formatCode="_(* #,##0.000000_);_(* \(#,##0.000000\);_(* &quot;-&quot;??_);_(@_)"/>
    <numFmt numFmtId="216" formatCode="_-* #,##0\ _€_-;\-* #,##0\ _€_-;_-* &quot;-&quot;\ _€_-;_-@_-"/>
    <numFmt numFmtId="217" formatCode="#,##0.0000"/>
    <numFmt numFmtId="218" formatCode="m/d/yyyy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  <numFmt numFmtId="223" formatCode="_-* #\ ##0\ _€_-;\-* #\ ##0\ _€_-;_-* &quot;-&quot;\ _€_-;_-@_-"/>
    <numFmt numFmtId="224" formatCode="0.0000000"/>
  </numFmts>
  <fonts count="180">
    <font>
      <sz val="10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indexed="9"/>
      <name val="Symbol"/>
      <family val="1"/>
    </font>
    <font>
      <i/>
      <sz val="9"/>
      <name val="Arial"/>
      <family val="2"/>
    </font>
    <font>
      <b/>
      <sz val="12"/>
      <name val="Arial"/>
      <family val="2"/>
    </font>
    <font>
      <b/>
      <sz val="12"/>
      <color indexed="33"/>
      <name val="Arial"/>
      <family val="2"/>
    </font>
    <font>
      <b/>
      <sz val="10"/>
      <color indexed="33"/>
      <name val="Arial"/>
      <family val="2"/>
    </font>
    <font>
      <b/>
      <sz val="8"/>
      <name val="Arial"/>
      <family val="2"/>
    </font>
    <font>
      <b/>
      <sz val="10"/>
      <color indexed="9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Tahoma"/>
      <family val="2"/>
    </font>
    <font>
      <b/>
      <vertAlign val="superscript"/>
      <sz val="14"/>
      <name val="Arial"/>
      <family val="2"/>
    </font>
    <font>
      <b/>
      <sz val="12"/>
      <name val="Tahoma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b/>
      <vertAlign val="superscript"/>
      <sz val="10"/>
      <color indexed="9"/>
      <name val="Arial"/>
      <family val="2"/>
    </font>
    <font>
      <vertAlign val="superscript"/>
      <sz val="8"/>
      <name val="Arial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.1"/>
      <color indexed="8"/>
      <name val="Calibri"/>
      <family val="2"/>
    </font>
    <font>
      <sz val="9.25"/>
      <color indexed="8"/>
      <name val="Arial"/>
      <family val="2"/>
    </font>
    <font>
      <sz val="9.2"/>
      <color indexed="8"/>
      <name val="Arial"/>
      <family val="2"/>
    </font>
    <font>
      <sz val="11.25"/>
      <color indexed="8"/>
      <name val="Arial"/>
      <family val="2"/>
    </font>
    <font>
      <sz val="9"/>
      <color indexed="8"/>
      <name val="Arial"/>
      <family val="2"/>
    </font>
    <font>
      <b/>
      <sz val="9.7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Calibri"/>
      <family val="2"/>
    </font>
    <font>
      <b/>
      <sz val="10.5"/>
      <color indexed="8"/>
      <name val="Arial"/>
      <family val="2"/>
    </font>
    <font>
      <sz val="11.5"/>
      <color indexed="8"/>
      <name val="Arial"/>
      <family val="2"/>
    </font>
    <font>
      <sz val="11.75"/>
      <color indexed="8"/>
      <name val="Arial"/>
      <family val="2"/>
    </font>
    <font>
      <sz val="14.5"/>
      <color indexed="8"/>
      <name val="Arial"/>
      <family val="2"/>
    </font>
    <font>
      <sz val="9.5"/>
      <color indexed="8"/>
      <name val="Arial"/>
      <family val="2"/>
    </font>
    <font>
      <sz val="7.35"/>
      <color indexed="8"/>
      <name val="Calibri"/>
      <family val="2"/>
    </font>
    <font>
      <sz val="15.5"/>
      <color indexed="8"/>
      <name val="Arial"/>
      <family val="2"/>
    </font>
    <font>
      <b/>
      <sz val="9.2"/>
      <color indexed="8"/>
      <name val="Calibri"/>
      <family val="2"/>
    </font>
    <font>
      <b/>
      <sz val="10.25"/>
      <color indexed="8"/>
      <name val="Arial"/>
      <family val="2"/>
    </font>
    <font>
      <b/>
      <sz val="9"/>
      <color indexed="8"/>
      <name val="Arial"/>
      <family val="2"/>
    </font>
    <font>
      <sz val="10.25"/>
      <color indexed="8"/>
      <name val="Arial"/>
      <family val="2"/>
    </font>
    <font>
      <b/>
      <sz val="9"/>
      <color indexed="12"/>
      <name val="Arial"/>
      <family val="2"/>
    </font>
    <font>
      <b/>
      <sz val="10.75"/>
      <color indexed="12"/>
      <name val="Arial"/>
      <family val="2"/>
    </font>
    <font>
      <b/>
      <sz val="9"/>
      <color indexed="50"/>
      <name val="Arial"/>
      <family val="2"/>
    </font>
    <font>
      <sz val="15.75"/>
      <color indexed="8"/>
      <name val="Arial"/>
      <family val="2"/>
    </font>
    <font>
      <sz val="10.75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10"/>
      <name val="Calibri"/>
      <family val="2"/>
    </font>
    <font>
      <sz val="7"/>
      <color indexed="10"/>
      <name val="Calibri"/>
      <family val="2"/>
    </font>
    <font>
      <sz val="8"/>
      <color indexed="14"/>
      <name val="Calibri"/>
      <family val="2"/>
    </font>
    <font>
      <sz val="10"/>
      <color indexed="51"/>
      <name val="Calibri"/>
      <family val="2"/>
    </font>
    <font>
      <sz val="8"/>
      <color indexed="30"/>
      <name val="Calibri"/>
      <family val="2"/>
    </font>
    <font>
      <sz val="22.5"/>
      <color indexed="8"/>
      <name val="Arial"/>
      <family val="2"/>
    </font>
    <font>
      <sz val="8.5"/>
      <color indexed="50"/>
      <name val="Arial"/>
      <family val="2"/>
    </font>
    <font>
      <sz val="8.5"/>
      <color indexed="54"/>
      <name val="Arial"/>
      <family val="2"/>
    </font>
    <font>
      <sz val="8.5"/>
      <color indexed="60"/>
      <name val="Arial"/>
      <family val="2"/>
    </font>
    <font>
      <sz val="8.5"/>
      <color indexed="8"/>
      <name val="Arial"/>
      <family val="2"/>
    </font>
    <font>
      <sz val="17.5"/>
      <color indexed="8"/>
      <name val="Arial"/>
      <family val="2"/>
    </font>
    <font>
      <sz val="8"/>
      <color indexed="12"/>
      <name val="Arial"/>
      <family val="2"/>
    </font>
    <font>
      <b/>
      <sz val="8"/>
      <color indexed="19"/>
      <name val="Arial"/>
      <family val="2"/>
    </font>
    <font>
      <sz val="8"/>
      <color indexed="19"/>
      <name val="Arial"/>
      <family val="2"/>
    </font>
    <font>
      <sz val="22.75"/>
      <color indexed="8"/>
      <name val="Arial"/>
      <family val="2"/>
    </font>
    <font>
      <b/>
      <sz val="9.2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4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8"/>
      <color indexed="9"/>
      <name val="Arial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9"/>
      <name val="Tahoma"/>
      <family val="2"/>
    </font>
    <font>
      <b/>
      <sz val="12"/>
      <color indexed="9"/>
      <name val="Arial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4"/>
      <color indexed="8"/>
      <name val="Calibri"/>
      <family val="2"/>
    </font>
    <font>
      <sz val="18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0.75"/>
      <color indexed="8"/>
      <name val="Arial"/>
      <family val="2"/>
    </font>
    <font>
      <b/>
      <sz val="10.5"/>
      <color indexed="9"/>
      <name val="Arial"/>
      <family val="2"/>
    </font>
    <font>
      <b/>
      <sz val="11.5"/>
      <color indexed="8"/>
      <name val="Arial"/>
      <family val="2"/>
    </font>
    <font>
      <b/>
      <sz val="12"/>
      <color indexed="9"/>
      <name val="Calibri"/>
      <family val="2"/>
    </font>
    <font>
      <b/>
      <sz val="11"/>
      <color indexed="8"/>
      <name val="Arial"/>
      <family val="2"/>
    </font>
    <font>
      <b/>
      <sz val="9.75"/>
      <color indexed="9"/>
      <name val="Arial"/>
      <family val="2"/>
    </font>
    <font>
      <b/>
      <sz val="11.75"/>
      <color indexed="10"/>
      <name val="Arial"/>
      <family val="2"/>
    </font>
    <font>
      <b/>
      <sz val="11.75"/>
      <color indexed="17"/>
      <name val="Arial"/>
      <family val="2"/>
    </font>
    <font>
      <b/>
      <sz val="11.75"/>
      <color indexed="14"/>
      <name val="Arial"/>
      <family val="2"/>
    </font>
    <font>
      <b/>
      <sz val="12"/>
      <color indexed="30"/>
      <name val="Arial"/>
      <family val="2"/>
    </font>
    <font>
      <b/>
      <sz val="8.75"/>
      <color indexed="8"/>
      <name val="Arial"/>
      <family val="2"/>
    </font>
    <font>
      <b/>
      <sz val="10.25"/>
      <color indexed="8"/>
      <name val="Calibri"/>
      <family val="2"/>
    </font>
    <font>
      <b/>
      <sz val="10.25"/>
      <color indexed="9"/>
      <name val="Arial"/>
      <family val="2"/>
    </font>
    <font>
      <b/>
      <sz val="12"/>
      <color indexed="12"/>
      <name val="Arial"/>
      <family val="2"/>
    </font>
    <font>
      <b/>
      <sz val="13.5"/>
      <color indexed="8"/>
      <name val="Arial"/>
      <family val="2"/>
    </font>
    <font>
      <b/>
      <sz val="14"/>
      <color indexed="9"/>
      <name val="Tahoma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7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10"/>
      <color theme="1" tint="0.34999001026153564"/>
      <name val="Arial"/>
      <family val="2"/>
    </font>
    <font>
      <b/>
      <sz val="12"/>
      <color theme="1" tint="0.34999001026153564"/>
      <name val="Arial"/>
      <family val="2"/>
    </font>
    <font>
      <b/>
      <sz val="10"/>
      <color theme="1" tint="0.34999001026153564"/>
      <name val="Arial"/>
      <family val="2"/>
    </font>
    <font>
      <b/>
      <sz val="11"/>
      <color theme="1" tint="0.34999001026153564"/>
      <name val="Arial"/>
      <family val="2"/>
    </font>
    <font>
      <b/>
      <sz val="14"/>
      <color theme="1"/>
      <name val="Arial"/>
      <family val="2"/>
    </font>
    <font>
      <sz val="10"/>
      <color rgb="FF9F9F9F"/>
      <name val="Arial"/>
      <family val="2"/>
    </font>
    <font>
      <b/>
      <sz val="10"/>
      <color rgb="FF9F9F9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0"/>
      <name val="Tahoma"/>
      <family val="2"/>
    </font>
    <font>
      <b/>
      <sz val="12"/>
      <color theme="0"/>
      <name val="Arial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7DD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7" tint="0.7999799847602844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>
        <color indexed="55"/>
      </bottom>
    </border>
    <border>
      <left style="thin"/>
      <right style="thin"/>
      <top style="medium"/>
      <bottom style="thin">
        <color indexed="55"/>
      </bottom>
    </border>
    <border>
      <left style="thin"/>
      <right>
        <color indexed="63"/>
      </right>
      <top style="medium"/>
      <bottom style="thin">
        <color indexed="55"/>
      </bottom>
    </border>
    <border>
      <left>
        <color indexed="63"/>
      </left>
      <right style="thin"/>
      <top style="medium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double"/>
      <right style="double"/>
      <top style="thin"/>
      <bottom/>
    </border>
    <border>
      <left style="double"/>
      <right style="thin"/>
      <top style="thin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double"/>
      <right style="double"/>
      <top/>
      <bottom style="medium"/>
    </border>
    <border>
      <left style="double"/>
      <right style="thin"/>
      <top/>
      <bottom style="medium"/>
    </border>
    <border>
      <left style="double"/>
      <right style="thin"/>
      <top/>
      <bottom style="dotted"/>
    </border>
    <border>
      <left style="thin"/>
      <right style="thin"/>
      <top style="dotted"/>
      <bottom style="dotted"/>
    </border>
    <border>
      <left style="double"/>
      <right style="double"/>
      <top style="dotted"/>
      <bottom style="dotted"/>
    </border>
    <border>
      <left style="double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double"/>
      <right style="double"/>
      <top style="dotted"/>
      <bottom style="medium"/>
    </border>
    <border>
      <left style="double"/>
      <right style="double"/>
      <top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/>
      <bottom style="thin"/>
    </border>
    <border>
      <left style="double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medium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/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7" fillId="2" borderId="0" applyNumberFormat="0" applyBorder="0" applyAlignment="0" applyProtection="0"/>
    <xf numFmtId="0" fontId="147" fillId="3" borderId="0" applyNumberFormat="0" applyBorder="0" applyAlignment="0" applyProtection="0"/>
    <xf numFmtId="0" fontId="147" fillId="4" borderId="0" applyNumberFormat="0" applyBorder="0" applyAlignment="0" applyProtection="0"/>
    <xf numFmtId="0" fontId="147" fillId="5" borderId="0" applyNumberFormat="0" applyBorder="0" applyAlignment="0" applyProtection="0"/>
    <xf numFmtId="0" fontId="147" fillId="6" borderId="0" applyNumberFormat="0" applyBorder="0" applyAlignment="0" applyProtection="0"/>
    <xf numFmtId="0" fontId="147" fillId="7" borderId="0" applyNumberFormat="0" applyBorder="0" applyAlignment="0" applyProtection="0"/>
    <xf numFmtId="0" fontId="147" fillId="8" borderId="0" applyNumberFormat="0" applyBorder="0" applyAlignment="0" applyProtection="0"/>
    <xf numFmtId="0" fontId="147" fillId="9" borderId="0" applyNumberFormat="0" applyBorder="0" applyAlignment="0" applyProtection="0"/>
    <xf numFmtId="0" fontId="147" fillId="10" borderId="0" applyNumberFormat="0" applyBorder="0" applyAlignment="0" applyProtection="0"/>
    <xf numFmtId="0" fontId="147" fillId="5" borderId="0" applyNumberFormat="0" applyBorder="0" applyAlignment="0" applyProtection="0"/>
    <xf numFmtId="0" fontId="147" fillId="8" borderId="0" applyNumberFormat="0" applyBorder="0" applyAlignment="0" applyProtection="0"/>
    <xf numFmtId="0" fontId="147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8" fillId="10" borderId="0" applyNumberFormat="0" applyBorder="0" applyAlignment="0" applyProtection="0"/>
    <xf numFmtId="0" fontId="148" fillId="14" borderId="0" applyNumberFormat="0" applyBorder="0" applyAlignment="0" applyProtection="0"/>
    <xf numFmtId="0" fontId="148" fillId="15" borderId="0" applyNumberFormat="0" applyBorder="0" applyAlignment="0" applyProtection="0"/>
    <xf numFmtId="0" fontId="148" fillId="16" borderId="0" applyNumberFormat="0" applyBorder="0" applyAlignment="0" applyProtection="0"/>
    <xf numFmtId="0" fontId="149" fillId="4" borderId="0" applyNumberFormat="0" applyBorder="0" applyAlignment="0" applyProtection="0"/>
    <xf numFmtId="0" fontId="99" fillId="17" borderId="1" applyNumberFormat="0" applyAlignment="0" applyProtection="0"/>
    <xf numFmtId="0" fontId="150" fillId="18" borderId="2" applyNumberFormat="0" applyAlignment="0" applyProtection="0"/>
    <xf numFmtId="0" fontId="21" fillId="0" borderId="3" applyNumberFormat="0" applyFill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48" fillId="19" borderId="0" applyNumberFormat="0" applyBorder="0" applyAlignment="0" applyProtection="0"/>
    <xf numFmtId="0" fontId="148" fillId="20" borderId="0" applyNumberFormat="0" applyBorder="0" applyAlignment="0" applyProtection="0"/>
    <xf numFmtId="0" fontId="148" fillId="21" borderId="0" applyNumberFormat="0" applyBorder="0" applyAlignment="0" applyProtection="0"/>
    <xf numFmtId="0" fontId="148" fillId="14" borderId="0" applyNumberFormat="0" applyBorder="0" applyAlignment="0" applyProtection="0"/>
    <xf numFmtId="0" fontId="148" fillId="22" borderId="0" applyNumberFormat="0" applyBorder="0" applyAlignment="0" applyProtection="0"/>
    <xf numFmtId="0" fontId="148" fillId="23" borderId="0" applyNumberFormat="0" applyBorder="0" applyAlignment="0" applyProtection="0"/>
    <xf numFmtId="0" fontId="151" fillId="7" borderId="1" applyNumberFormat="0" applyAlignment="0" applyProtection="0"/>
    <xf numFmtId="20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2" fillId="3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0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4" fillId="17" borderId="5" applyNumberFormat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2" fillId="0" borderId="8" applyNumberFormat="0" applyFill="0" applyAlignment="0" applyProtection="0"/>
    <xf numFmtId="0" fontId="157" fillId="0" borderId="9" applyNumberFormat="0" applyFill="0" applyAlignment="0" applyProtection="0"/>
  </cellStyleXfs>
  <cellXfs count="134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center"/>
    </xf>
    <xf numFmtId="200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left"/>
    </xf>
    <xf numFmtId="20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vertical="center"/>
    </xf>
    <xf numFmtId="202" fontId="0" fillId="0" borderId="11" xfId="0" applyNumberFormat="1" applyFill="1" applyBorder="1" applyAlignment="1">
      <alignment/>
    </xf>
    <xf numFmtId="202" fontId="0" fillId="0" borderId="0" xfId="0" applyNumberFormat="1" applyFill="1" applyBorder="1" applyAlignment="1">
      <alignment/>
    </xf>
    <xf numFmtId="202" fontId="0" fillId="0" borderId="12" xfId="0" applyNumberFormat="1" applyFill="1" applyBorder="1" applyAlignment="1">
      <alignment/>
    </xf>
    <xf numFmtId="201" fontId="0" fillId="0" borderId="12" xfId="0" applyNumberForma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202" fontId="0" fillId="0" borderId="11" xfId="0" applyNumberForma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198" fontId="6" fillId="0" borderId="14" xfId="66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198" fontId="6" fillId="0" borderId="16" xfId="66" applyNumberFormat="1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198" fontId="6" fillId="0" borderId="18" xfId="66" applyNumberFormat="1" applyFont="1" applyFill="1" applyBorder="1" applyAlignment="1">
      <alignment vertical="center"/>
    </xf>
    <xf numFmtId="198" fontId="6" fillId="0" borderId="15" xfId="66" applyNumberFormat="1" applyFont="1" applyFill="1" applyBorder="1" applyAlignment="1">
      <alignment vertical="center"/>
    </xf>
    <xf numFmtId="202" fontId="0" fillId="0" borderId="19" xfId="0" applyNumberFormat="1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02" fontId="4" fillId="0" borderId="22" xfId="0" applyNumberFormat="1" applyFont="1" applyFill="1" applyBorder="1" applyAlignment="1">
      <alignment/>
    </xf>
    <xf numFmtId="202" fontId="0" fillId="0" borderId="24" xfId="0" applyNumberFormat="1" applyFill="1" applyBorder="1" applyAlignment="1">
      <alignment/>
    </xf>
    <xf numFmtId="202" fontId="0" fillId="0" borderId="25" xfId="0" applyNumberFormat="1" applyFill="1" applyBorder="1" applyAlignment="1">
      <alignment/>
    </xf>
    <xf numFmtId="0" fontId="0" fillId="0" borderId="23" xfId="0" applyFill="1" applyBorder="1" applyAlignment="1">
      <alignment horizontal="center" vertical="center"/>
    </xf>
    <xf numFmtId="202" fontId="0" fillId="0" borderId="26" xfId="0" applyNumberFormat="1" applyFill="1" applyBorder="1" applyAlignment="1">
      <alignment vertical="center"/>
    </xf>
    <xf numFmtId="9" fontId="16" fillId="0" borderId="27" xfId="66" applyFont="1" applyFill="1" applyBorder="1" applyAlignment="1">
      <alignment vertical="center"/>
    </xf>
    <xf numFmtId="202" fontId="0" fillId="0" borderId="28" xfId="0" applyNumberFormat="1" applyFill="1" applyBorder="1" applyAlignment="1">
      <alignment vertical="center"/>
    </xf>
    <xf numFmtId="202" fontId="0" fillId="0" borderId="22" xfId="0" applyNumberFormat="1" applyFill="1" applyBorder="1" applyAlignment="1">
      <alignment vertical="center"/>
    </xf>
    <xf numFmtId="9" fontId="16" fillId="0" borderId="0" xfId="66" applyFont="1" applyFill="1" applyBorder="1" applyAlignment="1">
      <alignment vertical="center"/>
    </xf>
    <xf numFmtId="202" fontId="0" fillId="0" borderId="23" xfId="0" applyNumberFormat="1" applyFill="1" applyBorder="1" applyAlignment="1">
      <alignment vertical="center"/>
    </xf>
    <xf numFmtId="198" fontId="6" fillId="0" borderId="29" xfId="66" applyNumberFormat="1" applyFont="1" applyFill="1" applyBorder="1" applyAlignment="1">
      <alignment vertical="center"/>
    </xf>
    <xf numFmtId="198" fontId="6" fillId="0" borderId="30" xfId="66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198" fontId="6" fillId="0" borderId="32" xfId="66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199" fontId="0" fillId="0" borderId="0" xfId="73" applyNumberFormat="1" applyFont="1" applyAlignment="1">
      <alignment/>
    </xf>
    <xf numFmtId="0" fontId="0" fillId="0" borderId="33" xfId="0" applyFill="1" applyBorder="1" applyAlignment="1">
      <alignment horizontal="center"/>
    </xf>
    <xf numFmtId="202" fontId="4" fillId="0" borderId="34" xfId="0" applyNumberFormat="1" applyFont="1" applyFill="1" applyBorder="1" applyAlignment="1">
      <alignment/>
    </xf>
    <xf numFmtId="202" fontId="0" fillId="0" borderId="35" xfId="0" applyNumberFormat="1" applyFill="1" applyBorder="1" applyAlignment="1">
      <alignment/>
    </xf>
    <xf numFmtId="202" fontId="0" fillId="0" borderId="36" xfId="0" applyNumberFormat="1" applyFill="1" applyBorder="1" applyAlignment="1">
      <alignment/>
    </xf>
    <xf numFmtId="202" fontId="0" fillId="0" borderId="34" xfId="0" applyNumberFormat="1" applyFill="1" applyBorder="1" applyAlignment="1">
      <alignment/>
    </xf>
    <xf numFmtId="202" fontId="0" fillId="0" borderId="37" xfId="0" applyNumberFormat="1" applyFill="1" applyBorder="1" applyAlignment="1">
      <alignment/>
    </xf>
    <xf numFmtId="202" fontId="0" fillId="0" borderId="38" xfId="0" applyNumberFormat="1" applyFill="1" applyBorder="1" applyAlignment="1">
      <alignment/>
    </xf>
    <xf numFmtId="202" fontId="0" fillId="0" borderId="22" xfId="0" applyNumberFormat="1" applyFill="1" applyBorder="1" applyAlignment="1">
      <alignment/>
    </xf>
    <xf numFmtId="198" fontId="0" fillId="0" borderId="0" xfId="73" applyNumberFormat="1" applyFont="1" applyAlignment="1">
      <alignment horizontal="center"/>
    </xf>
    <xf numFmtId="198" fontId="0" fillId="0" borderId="0" xfId="73" applyNumberFormat="1" applyFont="1" applyAlignment="1">
      <alignment/>
    </xf>
    <xf numFmtId="0" fontId="0" fillId="0" borderId="23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39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9" fontId="6" fillId="0" borderId="26" xfId="73" applyFont="1" applyFill="1" applyBorder="1" applyAlignment="1">
      <alignment horizontal="center"/>
    </xf>
    <xf numFmtId="202" fontId="7" fillId="0" borderId="22" xfId="0" applyNumberFormat="1" applyFont="1" applyFill="1" applyBorder="1" applyAlignment="1">
      <alignment/>
    </xf>
    <xf numFmtId="9" fontId="6" fillId="0" borderId="10" xfId="73" applyNumberFormat="1" applyFont="1" applyFill="1" applyBorder="1" applyAlignment="1">
      <alignment horizontal="center"/>
    </xf>
    <xf numFmtId="0" fontId="16" fillId="0" borderId="4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0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9" fontId="6" fillId="0" borderId="15" xfId="73" applyFont="1" applyFill="1" applyBorder="1" applyAlignment="1">
      <alignment horizontal="center"/>
    </xf>
    <xf numFmtId="9" fontId="6" fillId="0" borderId="41" xfId="73" applyNumberFormat="1" applyFont="1" applyFill="1" applyBorder="1" applyAlignment="1">
      <alignment horizontal="center"/>
    </xf>
    <xf numFmtId="9" fontId="6" fillId="0" borderId="42" xfId="73" applyFont="1" applyFill="1" applyBorder="1" applyAlignment="1">
      <alignment horizontal="center"/>
    </xf>
    <xf numFmtId="9" fontId="6" fillId="0" borderId="10" xfId="73" applyFont="1" applyFill="1" applyBorder="1" applyAlignment="1">
      <alignment horizontal="center"/>
    </xf>
    <xf numFmtId="0" fontId="4" fillId="0" borderId="10" xfId="0" applyFont="1" applyBorder="1" applyAlignment="1">
      <alignment/>
    </xf>
    <xf numFmtId="9" fontId="6" fillId="0" borderId="43" xfId="73" applyNumberFormat="1" applyFont="1" applyFill="1" applyBorder="1" applyAlignment="1">
      <alignment horizontal="center"/>
    </xf>
    <xf numFmtId="9" fontId="6" fillId="0" borderId="15" xfId="73" applyNumberFormat="1" applyFont="1" applyFill="1" applyBorder="1" applyAlignment="1">
      <alignment horizontal="center"/>
    </xf>
    <xf numFmtId="9" fontId="6" fillId="0" borderId="43" xfId="73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201" fontId="0" fillId="0" borderId="10" xfId="0" applyNumberFormat="1" applyBorder="1" applyAlignment="1">
      <alignment/>
    </xf>
    <xf numFmtId="202" fontId="0" fillId="0" borderId="10" xfId="0" applyNumberFormat="1" applyBorder="1" applyAlignment="1">
      <alignment/>
    </xf>
    <xf numFmtId="3" fontId="0" fillId="26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26" borderId="10" xfId="0" applyNumberFormat="1" applyFont="1" applyFill="1" applyBorder="1" applyAlignment="1">
      <alignment horizontal="center" vertical="center"/>
    </xf>
    <xf numFmtId="19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2" xfId="0" applyBorder="1" applyAlignment="1">
      <alignment/>
    </xf>
    <xf numFmtId="9" fontId="6" fillId="0" borderId="28" xfId="73" applyNumberFormat="1" applyFont="1" applyFill="1" applyBorder="1" applyAlignment="1">
      <alignment horizontal="center"/>
    </xf>
    <xf numFmtId="9" fontId="6" fillId="0" borderId="23" xfId="73" applyNumberFormat="1" applyFont="1" applyFill="1" applyBorder="1" applyAlignment="1">
      <alignment horizontal="center"/>
    </xf>
    <xf numFmtId="9" fontId="6" fillId="0" borderId="23" xfId="73" applyFont="1" applyFill="1" applyBorder="1" applyAlignment="1">
      <alignment horizontal="center"/>
    </xf>
    <xf numFmtId="198" fontId="6" fillId="0" borderId="44" xfId="73" applyNumberFormat="1" applyFont="1" applyFill="1" applyBorder="1" applyAlignment="1">
      <alignment horizontal="center" vertical="center"/>
    </xf>
    <xf numFmtId="198" fontId="6" fillId="0" borderId="18" xfId="73" applyNumberFormat="1" applyFont="1" applyFill="1" applyBorder="1" applyAlignment="1">
      <alignment horizontal="center" vertical="center"/>
    </xf>
    <xf numFmtId="198" fontId="6" fillId="0" borderId="43" xfId="73" applyNumberFormat="1" applyFont="1" applyFill="1" applyBorder="1" applyAlignment="1">
      <alignment horizontal="center" vertical="center"/>
    </xf>
    <xf numFmtId="198" fontId="6" fillId="0" borderId="0" xfId="66" applyNumberFormat="1" applyFont="1" applyFill="1" applyBorder="1" applyAlignment="1">
      <alignment horizontal="center" vertical="center"/>
    </xf>
    <xf numFmtId="198" fontId="6" fillId="0" borderId="0" xfId="66" applyNumberFormat="1" applyFont="1" applyFill="1" applyBorder="1" applyAlignment="1">
      <alignment vertical="center"/>
    </xf>
    <xf numFmtId="198" fontId="6" fillId="0" borderId="45" xfId="66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9" fontId="6" fillId="0" borderId="47" xfId="73" applyFont="1" applyFill="1" applyBorder="1" applyAlignment="1">
      <alignment horizontal="center"/>
    </xf>
    <xf numFmtId="202" fontId="7" fillId="0" borderId="23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48" xfId="0" applyNumberFormat="1" applyFill="1" applyBorder="1" applyAlignment="1">
      <alignment/>
    </xf>
    <xf numFmtId="4" fontId="0" fillId="0" borderId="49" xfId="0" applyNumberFormat="1" applyFill="1" applyBorder="1" applyAlignment="1">
      <alignment/>
    </xf>
    <xf numFmtId="4" fontId="0" fillId="0" borderId="5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01" fontId="0" fillId="0" borderId="0" xfId="0" applyNumberForma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9" fontId="6" fillId="0" borderId="0" xfId="66" applyFont="1" applyFill="1" applyBorder="1" applyAlignment="1">
      <alignment horizontal="center" vertical="center"/>
    </xf>
    <xf numFmtId="201" fontId="0" fillId="0" borderId="0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horizont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51" xfId="0" applyNumberFormat="1" applyFill="1" applyBorder="1" applyAlignment="1">
      <alignment vertical="center"/>
    </xf>
    <xf numFmtId="3" fontId="0" fillId="0" borderId="53" xfId="0" applyNumberFormat="1" applyFill="1" applyBorder="1" applyAlignment="1">
      <alignment vertical="center"/>
    </xf>
    <xf numFmtId="202" fontId="0" fillId="0" borderId="0" xfId="0" applyNumberFormat="1" applyAlignment="1">
      <alignment horizontal="right"/>
    </xf>
    <xf numFmtId="0" fontId="0" fillId="0" borderId="5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6" fillId="0" borderId="44" xfId="0" applyFont="1" applyFill="1" applyBorder="1" applyAlignment="1">
      <alignment vertical="center"/>
    </xf>
    <xf numFmtId="0" fontId="16" fillId="0" borderId="47" xfId="0" applyFont="1" applyFill="1" applyBorder="1" applyAlignment="1">
      <alignment vertical="center"/>
    </xf>
    <xf numFmtId="0" fontId="16" fillId="0" borderId="43" xfId="0" applyFont="1" applyFill="1" applyBorder="1" applyAlignment="1">
      <alignment vertical="center"/>
    </xf>
    <xf numFmtId="0" fontId="0" fillId="0" borderId="0" xfId="59">
      <alignment/>
      <protection/>
    </xf>
    <xf numFmtId="0" fontId="1" fillId="0" borderId="0" xfId="59" applyFont="1" applyAlignment="1">
      <alignment horizontal="centerContinuous"/>
      <protection/>
    </xf>
    <xf numFmtId="0" fontId="0" fillId="0" borderId="0" xfId="59" applyAlignment="1">
      <alignment horizontal="centerContinuous"/>
      <protection/>
    </xf>
    <xf numFmtId="200" fontId="0" fillId="0" borderId="0" xfId="59" applyNumberFormat="1">
      <alignment/>
      <protection/>
    </xf>
    <xf numFmtId="0" fontId="0" fillId="0" borderId="0" xfId="59" applyAlignment="1">
      <alignment horizontal="right"/>
      <protection/>
    </xf>
    <xf numFmtId="0" fontId="16" fillId="7" borderId="55" xfId="59" applyFont="1" applyFill="1" applyBorder="1">
      <alignment/>
      <protection/>
    </xf>
    <xf numFmtId="9" fontId="6" fillId="7" borderId="56" xfId="69" applyNumberFormat="1" applyFont="1" applyFill="1" applyBorder="1" applyAlignment="1">
      <alignment horizontal="center"/>
    </xf>
    <xf numFmtId="0" fontId="7" fillId="0" borderId="0" xfId="59" applyFont="1">
      <alignment/>
      <protection/>
    </xf>
    <xf numFmtId="0" fontId="20" fillId="0" borderId="0" xfId="59" applyFont="1">
      <alignment/>
      <protection/>
    </xf>
    <xf numFmtId="201" fontId="0" fillId="0" borderId="0" xfId="59" applyNumberFormat="1">
      <alignment/>
      <protection/>
    </xf>
    <xf numFmtId="0" fontId="16" fillId="27" borderId="57" xfId="59" applyFont="1" applyFill="1" applyBorder="1">
      <alignment/>
      <protection/>
    </xf>
    <xf numFmtId="198" fontId="0" fillId="0" borderId="0" xfId="69" applyNumberFormat="1" applyAlignment="1">
      <alignment/>
    </xf>
    <xf numFmtId="0" fontId="0" fillId="0" borderId="23" xfId="0" applyFont="1" applyFill="1" applyBorder="1" applyAlignment="1">
      <alignment horizontal="center"/>
    </xf>
    <xf numFmtId="0" fontId="16" fillId="0" borderId="58" xfId="0" applyFont="1" applyFill="1" applyBorder="1" applyAlignment="1">
      <alignment/>
    </xf>
    <xf numFmtId="0" fontId="0" fillId="27" borderId="33" xfId="59" applyFont="1" applyFill="1" applyBorder="1" applyAlignment="1">
      <alignment horizontal="center"/>
      <protection/>
    </xf>
    <xf numFmtId="202" fontId="4" fillId="27" borderId="34" xfId="59" applyNumberFormat="1" applyFont="1" applyFill="1" applyBorder="1">
      <alignment/>
      <protection/>
    </xf>
    <xf numFmtId="202" fontId="0" fillId="27" borderId="35" xfId="59" applyNumberFormat="1" applyFont="1" applyFill="1" applyBorder="1">
      <alignment/>
      <protection/>
    </xf>
    <xf numFmtId="202" fontId="0" fillId="27" borderId="38" xfId="59" applyNumberFormat="1" applyFont="1" applyFill="1" applyBorder="1">
      <alignment/>
      <protection/>
    </xf>
    <xf numFmtId="202" fontId="0" fillId="27" borderId="34" xfId="59" applyNumberFormat="1" applyFont="1" applyFill="1" applyBorder="1">
      <alignment/>
      <protection/>
    </xf>
    <xf numFmtId="202" fontId="0" fillId="27" borderId="59" xfId="59" applyNumberFormat="1" applyFont="1" applyFill="1" applyBorder="1">
      <alignment/>
      <protection/>
    </xf>
    <xf numFmtId="202" fontId="0" fillId="27" borderId="37" xfId="59" applyNumberFormat="1" applyFont="1" applyFill="1" applyBorder="1">
      <alignment/>
      <protection/>
    </xf>
    <xf numFmtId="0" fontId="0" fillId="7" borderId="23" xfId="59" applyFont="1" applyFill="1" applyBorder="1" applyAlignment="1">
      <alignment horizontal="center"/>
      <protection/>
    </xf>
    <xf numFmtId="202" fontId="4" fillId="7" borderId="22" xfId="59" applyNumberFormat="1" applyFont="1" applyFill="1" applyBorder="1">
      <alignment/>
      <protection/>
    </xf>
    <xf numFmtId="202" fontId="0" fillId="7" borderId="12" xfId="59" applyNumberFormat="1" applyFont="1" applyFill="1" applyBorder="1">
      <alignment/>
      <protection/>
    </xf>
    <xf numFmtId="202" fontId="0" fillId="7" borderId="25" xfId="59" applyNumberFormat="1" applyFont="1" applyFill="1" applyBorder="1">
      <alignment/>
      <protection/>
    </xf>
    <xf numFmtId="202" fontId="0" fillId="7" borderId="22" xfId="59" applyNumberFormat="1" applyFont="1" applyFill="1" applyBorder="1">
      <alignment/>
      <protection/>
    </xf>
    <xf numFmtId="202" fontId="0" fillId="7" borderId="45" xfId="59" applyNumberFormat="1" applyFont="1" applyFill="1" applyBorder="1">
      <alignment/>
      <protection/>
    </xf>
    <xf numFmtId="202" fontId="0" fillId="7" borderId="11" xfId="59" applyNumberFormat="1" applyFont="1" applyFill="1" applyBorder="1">
      <alignment/>
      <protection/>
    </xf>
    <xf numFmtId="0" fontId="0" fillId="0" borderId="0" xfId="59" applyBorder="1">
      <alignment/>
      <protection/>
    </xf>
    <xf numFmtId="0" fontId="0" fillId="27" borderId="23" xfId="59" applyFont="1" applyFill="1" applyBorder="1" applyAlignment="1">
      <alignment horizontal="center"/>
      <protection/>
    </xf>
    <xf numFmtId="202" fontId="4" fillId="27" borderId="22" xfId="59" applyNumberFormat="1" applyFont="1" applyFill="1" applyBorder="1">
      <alignment/>
      <protection/>
    </xf>
    <xf numFmtId="202" fontId="0" fillId="27" borderId="12" xfId="59" applyNumberFormat="1" applyFont="1" applyFill="1" applyBorder="1">
      <alignment/>
      <protection/>
    </xf>
    <xf numFmtId="202" fontId="0" fillId="27" borderId="25" xfId="59" applyNumberFormat="1" applyFont="1" applyFill="1" applyBorder="1">
      <alignment/>
      <protection/>
    </xf>
    <xf numFmtId="202" fontId="0" fillId="27" borderId="22" xfId="59" applyNumberFormat="1" applyFont="1" applyFill="1" applyBorder="1">
      <alignment/>
      <protection/>
    </xf>
    <xf numFmtId="202" fontId="0" fillId="27" borderId="45" xfId="59" applyNumberFormat="1" applyFont="1" applyFill="1" applyBorder="1">
      <alignment/>
      <protection/>
    </xf>
    <xf numFmtId="202" fontId="0" fillId="27" borderId="11" xfId="59" applyNumberFormat="1" applyFont="1" applyFill="1" applyBorder="1">
      <alignment/>
      <protection/>
    </xf>
    <xf numFmtId="201" fontId="0" fillId="17" borderId="0" xfId="59" applyNumberFormat="1" applyFill="1">
      <alignment/>
      <protection/>
    </xf>
    <xf numFmtId="201" fontId="0" fillId="27" borderId="12" xfId="59" applyNumberFormat="1" applyFont="1" applyFill="1" applyBorder="1">
      <alignment/>
      <protection/>
    </xf>
    <xf numFmtId="201" fontId="0" fillId="7" borderId="12" xfId="59" applyNumberFormat="1" applyFont="1" applyFill="1" applyBorder="1">
      <alignment/>
      <protection/>
    </xf>
    <xf numFmtId="0" fontId="0" fillId="17" borderId="0" xfId="59" applyFill="1" applyBorder="1">
      <alignment/>
      <protection/>
    </xf>
    <xf numFmtId="202" fontId="0" fillId="7" borderId="0" xfId="59" applyNumberFormat="1" applyFont="1" applyFill="1" applyBorder="1">
      <alignment/>
      <protection/>
    </xf>
    <xf numFmtId="202" fontId="0" fillId="27" borderId="0" xfId="59" applyNumberFormat="1" applyFont="1" applyFill="1" applyBorder="1">
      <alignment/>
      <protection/>
    </xf>
    <xf numFmtId="201" fontId="0" fillId="27" borderId="13" xfId="59" applyNumberFormat="1" applyFont="1" applyFill="1" applyBorder="1">
      <alignment/>
      <protection/>
    </xf>
    <xf numFmtId="9" fontId="7" fillId="0" borderId="28" xfId="69" applyNumberFormat="1" applyFont="1" applyFill="1" applyBorder="1" applyAlignment="1">
      <alignment horizontal="center"/>
    </xf>
    <xf numFmtId="202" fontId="0" fillId="0" borderId="0" xfId="59" applyNumberFormat="1">
      <alignment/>
      <protection/>
    </xf>
    <xf numFmtId="0" fontId="16" fillId="27" borderId="60" xfId="59" applyFont="1" applyFill="1" applyBorder="1">
      <alignment/>
      <protection/>
    </xf>
    <xf numFmtId="9" fontId="6" fillId="27" borderId="61" xfId="69" applyNumberFormat="1" applyFont="1" applyFill="1" applyBorder="1" applyAlignment="1">
      <alignment horizontal="center"/>
    </xf>
    <xf numFmtId="9" fontId="7" fillId="0" borderId="23" xfId="69" applyNumberFormat="1" applyFont="1" applyFill="1" applyBorder="1" applyAlignment="1">
      <alignment horizontal="center"/>
    </xf>
    <xf numFmtId="0" fontId="16" fillId="7" borderId="60" xfId="59" applyFont="1" applyFill="1" applyBorder="1">
      <alignment/>
      <protection/>
    </xf>
    <xf numFmtId="9" fontId="6" fillId="7" borderId="61" xfId="69" applyFont="1" applyFill="1" applyBorder="1" applyAlignment="1">
      <alignment horizontal="center"/>
    </xf>
    <xf numFmtId="9" fontId="7" fillId="0" borderId="23" xfId="69" applyFont="1" applyFill="1" applyBorder="1" applyAlignment="1">
      <alignment horizontal="center"/>
    </xf>
    <xf numFmtId="9" fontId="6" fillId="27" borderId="62" xfId="69" applyFont="1" applyFill="1" applyBorder="1" applyAlignment="1">
      <alignment horizontal="center"/>
    </xf>
    <xf numFmtId="199" fontId="0" fillId="0" borderId="0" xfId="69" applyNumberFormat="1" applyFont="1" applyAlignment="1">
      <alignment/>
    </xf>
    <xf numFmtId="0" fontId="26" fillId="0" borderId="0" xfId="59" applyFont="1">
      <alignment/>
      <protection/>
    </xf>
    <xf numFmtId="202" fontId="0" fillId="0" borderId="0" xfId="0" applyNumberFormat="1" applyFont="1" applyFill="1" applyBorder="1" applyAlignment="1">
      <alignment/>
    </xf>
    <xf numFmtId="202" fontId="0" fillId="0" borderId="22" xfId="0" applyNumberFormat="1" applyFont="1" applyFill="1" applyBorder="1" applyAlignment="1">
      <alignment/>
    </xf>
    <xf numFmtId="202" fontId="0" fillId="0" borderId="20" xfId="0" applyNumberFormat="1" applyFont="1" applyFill="1" applyBorder="1" applyAlignment="1">
      <alignment/>
    </xf>
    <xf numFmtId="202" fontId="0" fillId="0" borderId="11" xfId="0" applyNumberFormat="1" applyFont="1" applyFill="1" applyBorder="1" applyAlignment="1">
      <alignment/>
    </xf>
    <xf numFmtId="202" fontId="0" fillId="0" borderId="25" xfId="0" applyNumberFormat="1" applyFont="1" applyFill="1" applyBorder="1" applyAlignment="1">
      <alignment/>
    </xf>
    <xf numFmtId="0" fontId="0" fillId="7" borderId="23" xfId="0" applyFill="1" applyBorder="1" applyAlignment="1">
      <alignment horizontal="center"/>
    </xf>
    <xf numFmtId="202" fontId="4" fillId="7" borderId="22" xfId="0" applyNumberFormat="1" applyFont="1" applyFill="1" applyBorder="1" applyAlignment="1">
      <alignment horizontal="center"/>
    </xf>
    <xf numFmtId="202" fontId="0" fillId="7" borderId="12" xfId="0" applyNumberFormat="1" applyFill="1" applyBorder="1" applyAlignment="1">
      <alignment horizontal="center"/>
    </xf>
    <xf numFmtId="202" fontId="0" fillId="7" borderId="0" xfId="0" applyNumberFormat="1" applyFill="1" applyBorder="1" applyAlignment="1">
      <alignment horizontal="center"/>
    </xf>
    <xf numFmtId="202" fontId="0" fillId="7" borderId="22" xfId="0" applyNumberFormat="1" applyFill="1" applyBorder="1" applyAlignment="1">
      <alignment horizontal="center"/>
    </xf>
    <xf numFmtId="202" fontId="0" fillId="7" borderId="20" xfId="0" applyNumberFormat="1" applyFill="1" applyBorder="1" applyAlignment="1">
      <alignment horizontal="center"/>
    </xf>
    <xf numFmtId="202" fontId="0" fillId="7" borderId="11" xfId="0" applyNumberFormat="1" applyFill="1" applyBorder="1" applyAlignment="1">
      <alignment horizontal="center"/>
    </xf>
    <xf numFmtId="202" fontId="0" fillId="7" borderId="25" xfId="0" applyNumberFormat="1" applyFill="1" applyBorder="1" applyAlignment="1">
      <alignment horizontal="center"/>
    </xf>
    <xf numFmtId="0" fontId="0" fillId="27" borderId="23" xfId="0" applyFill="1" applyBorder="1" applyAlignment="1">
      <alignment horizontal="center"/>
    </xf>
    <xf numFmtId="202" fontId="4" fillId="27" borderId="22" xfId="0" applyNumberFormat="1" applyFont="1" applyFill="1" applyBorder="1" applyAlignment="1">
      <alignment horizontal="center"/>
    </xf>
    <xf numFmtId="202" fontId="0" fillId="27" borderId="12" xfId="0" applyNumberFormat="1" applyFill="1" applyBorder="1" applyAlignment="1">
      <alignment horizontal="center"/>
    </xf>
    <xf numFmtId="202" fontId="0" fillId="27" borderId="0" xfId="0" applyNumberFormat="1" applyFill="1" applyBorder="1" applyAlignment="1">
      <alignment horizontal="center"/>
    </xf>
    <xf numFmtId="202" fontId="0" fillId="27" borderId="22" xfId="0" applyNumberFormat="1" applyFill="1" applyBorder="1" applyAlignment="1">
      <alignment horizontal="center"/>
    </xf>
    <xf numFmtId="202" fontId="0" fillId="27" borderId="20" xfId="0" applyNumberFormat="1" applyFill="1" applyBorder="1" applyAlignment="1">
      <alignment horizontal="center"/>
    </xf>
    <xf numFmtId="202" fontId="0" fillId="27" borderId="11" xfId="0" applyNumberFormat="1" applyFill="1" applyBorder="1" applyAlignment="1">
      <alignment horizontal="center"/>
    </xf>
    <xf numFmtId="202" fontId="0" fillId="27" borderId="25" xfId="0" applyNumberFormat="1" applyFill="1" applyBorder="1" applyAlignment="1">
      <alignment horizontal="center"/>
    </xf>
    <xf numFmtId="201" fontId="0" fillId="27" borderId="12" xfId="0" applyNumberFormat="1" applyFill="1" applyBorder="1" applyAlignment="1">
      <alignment horizontal="center"/>
    </xf>
    <xf numFmtId="201" fontId="0" fillId="7" borderId="12" xfId="0" applyNumberFormat="1" applyFill="1" applyBorder="1" applyAlignment="1">
      <alignment horizontal="center"/>
    </xf>
    <xf numFmtId="0" fontId="0" fillId="27" borderId="31" xfId="0" applyFill="1" applyBorder="1" applyAlignment="1">
      <alignment horizontal="center"/>
    </xf>
    <xf numFmtId="202" fontId="4" fillId="27" borderId="46" xfId="0" applyNumberFormat="1" applyFont="1" applyFill="1" applyBorder="1" applyAlignment="1">
      <alignment horizontal="center"/>
    </xf>
    <xf numFmtId="202" fontId="0" fillId="27" borderId="63" xfId="0" applyNumberFormat="1" applyFill="1" applyBorder="1" applyAlignment="1">
      <alignment horizontal="center"/>
    </xf>
    <xf numFmtId="202" fontId="0" fillId="27" borderId="64" xfId="0" applyNumberFormat="1" applyFill="1" applyBorder="1" applyAlignment="1">
      <alignment horizontal="center"/>
    </xf>
    <xf numFmtId="202" fontId="0" fillId="27" borderId="46" xfId="0" applyNumberFormat="1" applyFill="1" applyBorder="1" applyAlignment="1">
      <alignment horizontal="center"/>
    </xf>
    <xf numFmtId="202" fontId="0" fillId="27" borderId="21" xfId="0" applyNumberFormat="1" applyFill="1" applyBorder="1" applyAlignment="1">
      <alignment horizontal="center"/>
    </xf>
    <xf numFmtId="202" fontId="0" fillId="27" borderId="65" xfId="0" applyNumberFormat="1" applyFill="1" applyBorder="1" applyAlignment="1">
      <alignment horizontal="center"/>
    </xf>
    <xf numFmtId="202" fontId="0" fillId="27" borderId="66" xfId="0" applyNumberFormat="1" applyFill="1" applyBorder="1" applyAlignment="1">
      <alignment horizontal="center"/>
    </xf>
    <xf numFmtId="0" fontId="16" fillId="7" borderId="55" xfId="0" applyFont="1" applyFill="1" applyBorder="1" applyAlignment="1">
      <alignment/>
    </xf>
    <xf numFmtId="9" fontId="6" fillId="7" borderId="67" xfId="70" applyNumberFormat="1" applyFont="1" applyFill="1" applyBorder="1" applyAlignment="1">
      <alignment horizontal="center"/>
    </xf>
    <xf numFmtId="9" fontId="6" fillId="27" borderId="68" xfId="70" applyNumberFormat="1" applyFont="1" applyFill="1" applyBorder="1" applyAlignment="1">
      <alignment horizontal="center"/>
    </xf>
    <xf numFmtId="0" fontId="16" fillId="27" borderId="60" xfId="0" applyFont="1" applyFill="1" applyBorder="1" applyAlignment="1">
      <alignment/>
    </xf>
    <xf numFmtId="9" fontId="6" fillId="27" borderId="69" xfId="70" applyNumberFormat="1" applyFont="1" applyFill="1" applyBorder="1" applyAlignment="1">
      <alignment horizontal="center"/>
    </xf>
    <xf numFmtId="9" fontId="6" fillId="27" borderId="12" xfId="70" applyNumberFormat="1" applyFont="1" applyFill="1" applyBorder="1" applyAlignment="1">
      <alignment horizontal="center"/>
    </xf>
    <xf numFmtId="0" fontId="16" fillId="7" borderId="60" xfId="0" applyFont="1" applyFill="1" applyBorder="1" applyAlignment="1">
      <alignment/>
    </xf>
    <xf numFmtId="9" fontId="6" fillId="7" borderId="69" xfId="70" applyNumberFormat="1" applyFont="1" applyFill="1" applyBorder="1" applyAlignment="1">
      <alignment horizontal="center"/>
    </xf>
    <xf numFmtId="9" fontId="6" fillId="27" borderId="12" xfId="70" applyFont="1" applyFill="1" applyBorder="1" applyAlignment="1">
      <alignment horizontal="center"/>
    </xf>
    <xf numFmtId="0" fontId="16" fillId="27" borderId="57" xfId="0" applyFont="1" applyFill="1" applyBorder="1" applyAlignment="1">
      <alignment/>
    </xf>
    <xf numFmtId="9" fontId="6" fillId="27" borderId="70" xfId="70" applyFont="1" applyFill="1" applyBorder="1" applyAlignment="1">
      <alignment horizontal="center"/>
    </xf>
    <xf numFmtId="0" fontId="0" fillId="0" borderId="0" xfId="0" applyFont="1" applyAlignment="1">
      <alignment/>
    </xf>
    <xf numFmtId="199" fontId="0" fillId="0" borderId="0" xfId="70" applyNumberFormat="1" applyFont="1" applyAlignment="1">
      <alignment/>
    </xf>
    <xf numFmtId="213" fontId="0" fillId="0" borderId="0" xfId="0" applyNumberFormat="1" applyAlignment="1">
      <alignment/>
    </xf>
    <xf numFmtId="198" fontId="6" fillId="0" borderId="71" xfId="66" applyNumberFormat="1" applyFont="1" applyFill="1" applyBorder="1" applyAlignment="1">
      <alignment vertical="center"/>
    </xf>
    <xf numFmtId="198" fontId="6" fillId="0" borderId="72" xfId="66" applyNumberFormat="1" applyFont="1" applyFill="1" applyBorder="1" applyAlignment="1">
      <alignment vertical="center"/>
    </xf>
    <xf numFmtId="198" fontId="6" fillId="0" borderId="73" xfId="66" applyNumberFormat="1" applyFont="1" applyFill="1" applyBorder="1" applyAlignment="1">
      <alignment vertical="center"/>
    </xf>
    <xf numFmtId="198" fontId="6" fillId="0" borderId="47" xfId="73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27" borderId="23" xfId="0" applyFill="1" applyBorder="1" applyAlignment="1">
      <alignment horizontal="center" vertical="center"/>
    </xf>
    <xf numFmtId="202" fontId="0" fillId="27" borderId="22" xfId="0" applyNumberFormat="1" applyFill="1" applyBorder="1" applyAlignment="1">
      <alignment vertical="center"/>
    </xf>
    <xf numFmtId="202" fontId="0" fillId="27" borderId="11" xfId="0" applyNumberFormat="1" applyFill="1" applyBorder="1" applyAlignment="1">
      <alignment vertical="center"/>
    </xf>
    <xf numFmtId="202" fontId="0" fillId="27" borderId="23" xfId="0" applyNumberFormat="1" applyFill="1" applyBorder="1" applyAlignment="1">
      <alignment vertical="center"/>
    </xf>
    <xf numFmtId="0" fontId="0" fillId="28" borderId="23" xfId="0" applyFill="1" applyBorder="1" applyAlignment="1">
      <alignment horizontal="center" vertical="center"/>
    </xf>
    <xf numFmtId="202" fontId="0" fillId="28" borderId="22" xfId="0" applyNumberFormat="1" applyFill="1" applyBorder="1" applyAlignment="1">
      <alignment vertical="center"/>
    </xf>
    <xf numFmtId="202" fontId="0" fillId="28" borderId="11" xfId="0" applyNumberFormat="1" applyFill="1" applyBorder="1" applyAlignment="1">
      <alignment vertical="center"/>
    </xf>
    <xf numFmtId="202" fontId="0" fillId="28" borderId="23" xfId="0" applyNumberFormat="1" applyFill="1" applyBorder="1" applyAlignment="1">
      <alignment vertical="center"/>
    </xf>
    <xf numFmtId="204" fontId="0" fillId="0" borderId="0" xfId="0" applyNumberFormat="1" applyAlignment="1">
      <alignment/>
    </xf>
    <xf numFmtId="0" fontId="0" fillId="28" borderId="23" xfId="0" applyNumberFormat="1" applyFill="1" applyBorder="1" applyAlignment="1">
      <alignment horizontal="center" vertical="center"/>
    </xf>
    <xf numFmtId="0" fontId="0" fillId="27" borderId="23" xfId="0" applyNumberFormat="1" applyFill="1" applyBorder="1" applyAlignment="1">
      <alignment horizontal="center" vertical="center"/>
    </xf>
    <xf numFmtId="214" fontId="0" fillId="0" borderId="0" xfId="52" applyNumberFormat="1" applyFont="1" applyAlignment="1">
      <alignment/>
    </xf>
    <xf numFmtId="214" fontId="0" fillId="0" borderId="0" xfId="52" applyNumberFormat="1" applyFont="1" applyAlignment="1">
      <alignment/>
    </xf>
    <xf numFmtId="215" fontId="0" fillId="0" borderId="0" xfId="0" applyNumberFormat="1" applyAlignment="1">
      <alignment/>
    </xf>
    <xf numFmtId="0" fontId="16" fillId="28" borderId="55" xfId="0" applyFont="1" applyFill="1" applyBorder="1" applyAlignment="1">
      <alignment vertical="center"/>
    </xf>
    <xf numFmtId="9" fontId="6" fillId="28" borderId="67" xfId="70" applyNumberFormat="1" applyFont="1" applyFill="1" applyBorder="1" applyAlignment="1">
      <alignment vertical="center"/>
    </xf>
    <xf numFmtId="9" fontId="6" fillId="28" borderId="55" xfId="70" applyNumberFormat="1" applyFont="1" applyFill="1" applyBorder="1" applyAlignment="1">
      <alignment vertical="center"/>
    </xf>
    <xf numFmtId="0" fontId="16" fillId="27" borderId="60" xfId="0" applyFont="1" applyFill="1" applyBorder="1" applyAlignment="1">
      <alignment vertical="center"/>
    </xf>
    <xf numFmtId="9" fontId="6" fillId="27" borderId="69" xfId="70" applyNumberFormat="1" applyFont="1" applyFill="1" applyBorder="1" applyAlignment="1">
      <alignment vertical="center"/>
    </xf>
    <xf numFmtId="9" fontId="6" fillId="27" borderId="60" xfId="70" applyNumberFormat="1" applyFont="1" applyFill="1" applyBorder="1" applyAlignment="1">
      <alignment vertical="center"/>
    </xf>
    <xf numFmtId="0" fontId="16" fillId="28" borderId="60" xfId="0" applyFont="1" applyFill="1" applyBorder="1" applyAlignment="1">
      <alignment vertical="center"/>
    </xf>
    <xf numFmtId="9" fontId="6" fillId="28" borderId="69" xfId="70" applyNumberFormat="1" applyFont="1" applyFill="1" applyBorder="1" applyAlignment="1">
      <alignment vertical="center"/>
    </xf>
    <xf numFmtId="9" fontId="6" fillId="28" borderId="60" xfId="70" applyNumberFormat="1" applyFont="1" applyFill="1" applyBorder="1" applyAlignment="1">
      <alignment vertical="center"/>
    </xf>
    <xf numFmtId="0" fontId="16" fillId="27" borderId="40" xfId="0" applyFont="1" applyFill="1" applyBorder="1" applyAlignment="1">
      <alignment vertical="center"/>
    </xf>
    <xf numFmtId="9" fontId="6" fillId="27" borderId="58" xfId="70" applyNumberFormat="1" applyFont="1" applyFill="1" applyBorder="1" applyAlignment="1">
      <alignment vertical="center"/>
    </xf>
    <xf numFmtId="9" fontId="6" fillId="27" borderId="40" xfId="7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3" fontId="0" fillId="0" borderId="74" xfId="59" applyNumberFormat="1" applyFont="1" applyFill="1" applyBorder="1" applyAlignment="1">
      <alignment horizontal="center"/>
      <protection/>
    </xf>
    <xf numFmtId="3" fontId="0" fillId="0" borderId="75" xfId="59" applyNumberFormat="1" applyFont="1" applyFill="1" applyBorder="1" applyAlignment="1">
      <alignment horizontal="center"/>
      <protection/>
    </xf>
    <xf numFmtId="0" fontId="0" fillId="0" borderId="22" xfId="59" applyFont="1" applyFill="1" applyBorder="1" applyAlignment="1">
      <alignment horizontal="center"/>
      <protection/>
    </xf>
    <xf numFmtId="3" fontId="0" fillId="0" borderId="75" xfId="59" applyNumberFormat="1" applyFont="1" applyFill="1" applyBorder="1">
      <alignment/>
      <protection/>
    </xf>
    <xf numFmtId="3" fontId="0" fillId="0" borderId="25" xfId="59" applyNumberFormat="1" applyFont="1" applyFill="1" applyBorder="1">
      <alignment/>
      <protection/>
    </xf>
    <xf numFmtId="0" fontId="4" fillId="0" borderId="58" xfId="59" applyFont="1" applyFill="1" applyBorder="1" applyAlignment="1">
      <alignment horizontal="center"/>
      <protection/>
    </xf>
    <xf numFmtId="3" fontId="0" fillId="0" borderId="76" xfId="59" applyNumberFormat="1" applyFont="1" applyFill="1" applyBorder="1" applyAlignment="1">
      <alignment horizontal="right" vertical="center"/>
      <protection/>
    </xf>
    <xf numFmtId="0" fontId="2" fillId="0" borderId="45" xfId="59" applyFont="1" applyFill="1" applyBorder="1" applyAlignment="1">
      <alignment horizontal="center" vertical="center"/>
      <protection/>
    </xf>
    <xf numFmtId="202" fontId="0" fillId="0" borderId="76" xfId="59" applyNumberFormat="1" applyFont="1" applyFill="1" applyBorder="1" applyAlignment="1">
      <alignment horizontal="right" vertical="center"/>
      <protection/>
    </xf>
    <xf numFmtId="0" fontId="2" fillId="0" borderId="25" xfId="59" applyFont="1" applyFill="1" applyBorder="1" applyAlignment="1">
      <alignment horizontal="center" vertical="center"/>
      <protection/>
    </xf>
    <xf numFmtId="202" fontId="27" fillId="0" borderId="0" xfId="59" applyNumberFormat="1" applyFont="1" applyFill="1" applyBorder="1" applyAlignment="1">
      <alignment horizontal="center"/>
      <protection/>
    </xf>
    <xf numFmtId="0" fontId="28" fillId="0" borderId="0" xfId="59" applyFont="1" applyFill="1" applyBorder="1" applyAlignment="1">
      <alignment horizontal="center"/>
      <protection/>
    </xf>
    <xf numFmtId="202" fontId="28" fillId="0" borderId="0" xfId="59" applyNumberFormat="1" applyFont="1" applyFill="1" applyBorder="1" applyAlignment="1">
      <alignment horizontal="center"/>
      <protection/>
    </xf>
    <xf numFmtId="198" fontId="4" fillId="0" borderId="77" xfId="69" applyNumberFormat="1" applyFont="1" applyFill="1" applyBorder="1" applyAlignment="1">
      <alignment/>
    </xf>
    <xf numFmtId="198" fontId="4" fillId="0" borderId="78" xfId="69" applyNumberFormat="1" applyFont="1" applyFill="1" applyBorder="1" applyAlignment="1">
      <alignment/>
    </xf>
    <xf numFmtId="198" fontId="4" fillId="0" borderId="79" xfId="69" applyNumberFormat="1" applyFont="1" applyFill="1" applyBorder="1" applyAlignment="1">
      <alignment/>
    </xf>
    <xf numFmtId="0" fontId="0" fillId="0" borderId="80" xfId="59" applyFont="1" applyFill="1" applyBorder="1">
      <alignment/>
      <protection/>
    </xf>
    <xf numFmtId="0" fontId="0" fillId="0" borderId="58" xfId="0" applyFont="1" applyFill="1" applyBorder="1" applyAlignment="1">
      <alignment horizontal="center"/>
    </xf>
    <xf numFmtId="198" fontId="6" fillId="0" borderId="81" xfId="66" applyNumberFormat="1" applyFont="1" applyFill="1" applyBorder="1" applyAlignment="1">
      <alignment vertical="center"/>
    </xf>
    <xf numFmtId="198" fontId="6" fillId="0" borderId="82" xfId="66" applyNumberFormat="1" applyFont="1" applyFill="1" applyBorder="1" applyAlignment="1">
      <alignment vertical="center"/>
    </xf>
    <xf numFmtId="198" fontId="6" fillId="0" borderId="17" xfId="66" applyNumberFormat="1" applyFont="1" applyFill="1" applyBorder="1" applyAlignment="1">
      <alignment vertical="center"/>
    </xf>
    <xf numFmtId="0" fontId="0" fillId="29" borderId="0" xfId="58" applyFont="1" applyFill="1">
      <alignment/>
      <protection/>
    </xf>
    <xf numFmtId="0" fontId="4" fillId="29" borderId="0" xfId="58" applyFont="1" applyFill="1" applyBorder="1" applyAlignment="1">
      <alignment/>
      <protection/>
    </xf>
    <xf numFmtId="0" fontId="30" fillId="29" borderId="0" xfId="58" applyFont="1" applyFill="1">
      <alignment/>
      <protection/>
    </xf>
    <xf numFmtId="0" fontId="4" fillId="29" borderId="0" xfId="58" applyFont="1" applyFill="1" applyBorder="1" applyAlignment="1">
      <alignment horizontal="left"/>
      <protection/>
    </xf>
    <xf numFmtId="0" fontId="4" fillId="29" borderId="0" xfId="58" applyFont="1" applyFill="1">
      <alignment/>
      <protection/>
    </xf>
    <xf numFmtId="0" fontId="158" fillId="30" borderId="35" xfId="58" applyFont="1" applyFill="1" applyBorder="1" applyAlignment="1">
      <alignment horizontal="center"/>
      <protection/>
    </xf>
    <xf numFmtId="0" fontId="159" fillId="30" borderId="35" xfId="58" applyFont="1" applyFill="1" applyBorder="1">
      <alignment/>
      <protection/>
    </xf>
    <xf numFmtId="0" fontId="4" fillId="29" borderId="0" xfId="58" applyFont="1" applyFill="1" applyBorder="1" applyAlignment="1">
      <alignment horizontal="center"/>
      <protection/>
    </xf>
    <xf numFmtId="0" fontId="158" fillId="30" borderId="12" xfId="58" applyFont="1" applyFill="1" applyBorder="1" applyAlignment="1">
      <alignment horizontal="center"/>
      <protection/>
    </xf>
    <xf numFmtId="0" fontId="159" fillId="30" borderId="12" xfId="58" applyFont="1" applyFill="1" applyBorder="1">
      <alignment/>
      <protection/>
    </xf>
    <xf numFmtId="17" fontId="0" fillId="29" borderId="10" xfId="58" applyNumberFormat="1" applyFont="1" applyFill="1" applyBorder="1" applyAlignment="1">
      <alignment horizontal="left"/>
      <protection/>
    </xf>
    <xf numFmtId="205" fontId="0" fillId="29" borderId="10" xfId="58" applyNumberFormat="1" applyFont="1" applyFill="1" applyBorder="1">
      <alignment/>
      <protection/>
    </xf>
    <xf numFmtId="204" fontId="0" fillId="29" borderId="10" xfId="58" applyNumberFormat="1" applyFont="1" applyFill="1" applyBorder="1">
      <alignment/>
      <protection/>
    </xf>
    <xf numFmtId="0" fontId="0" fillId="29" borderId="10" xfId="58" applyFont="1" applyFill="1" applyBorder="1">
      <alignment/>
      <protection/>
    </xf>
    <xf numFmtId="217" fontId="0" fillId="29" borderId="10" xfId="58" applyNumberFormat="1" applyFont="1" applyFill="1" applyBorder="1">
      <alignment/>
      <protection/>
    </xf>
    <xf numFmtId="206" fontId="0" fillId="29" borderId="10" xfId="58" applyNumberFormat="1" applyFont="1" applyFill="1" applyBorder="1">
      <alignment/>
      <protection/>
    </xf>
    <xf numFmtId="206" fontId="8" fillId="29" borderId="0" xfId="58" applyNumberFormat="1" applyFont="1" applyFill="1" applyBorder="1">
      <alignment/>
      <protection/>
    </xf>
    <xf numFmtId="205" fontId="8" fillId="29" borderId="0" xfId="58" applyNumberFormat="1" applyFont="1" applyFill="1" applyBorder="1">
      <alignment/>
      <protection/>
    </xf>
    <xf numFmtId="205" fontId="0" fillId="29" borderId="0" xfId="58" applyNumberFormat="1" applyFill="1">
      <alignment/>
      <protection/>
    </xf>
    <xf numFmtId="2" fontId="0" fillId="29" borderId="0" xfId="58" applyNumberFormat="1" applyFont="1" applyFill="1">
      <alignment/>
      <protection/>
    </xf>
    <xf numFmtId="204" fontId="0" fillId="29" borderId="0" xfId="58" applyNumberFormat="1" applyFont="1" applyFill="1">
      <alignment/>
      <protection/>
    </xf>
    <xf numFmtId="0" fontId="6" fillId="29" borderId="35" xfId="58" applyFont="1" applyFill="1" applyBorder="1" applyAlignment="1">
      <alignment horizontal="center"/>
      <protection/>
    </xf>
    <xf numFmtId="0" fontId="6" fillId="29" borderId="63" xfId="58" applyFont="1" applyFill="1" applyBorder="1" applyAlignment="1">
      <alignment horizontal="center"/>
      <protection/>
    </xf>
    <xf numFmtId="0" fontId="6" fillId="29" borderId="30" xfId="58" applyFont="1" applyFill="1" applyBorder="1" applyAlignment="1">
      <alignment horizontal="center"/>
      <protection/>
    </xf>
    <xf numFmtId="0" fontId="6" fillId="29" borderId="10" xfId="58" applyFont="1" applyFill="1" applyBorder="1" applyAlignment="1">
      <alignment horizontal="center"/>
      <protection/>
    </xf>
    <xf numFmtId="9" fontId="0" fillId="29" borderId="0" xfId="69" applyFont="1" applyFill="1" applyAlignment="1">
      <alignment/>
    </xf>
    <xf numFmtId="17" fontId="0" fillId="29" borderId="10" xfId="58" applyNumberFormat="1" applyFill="1" applyBorder="1" applyAlignment="1">
      <alignment horizontal="center"/>
      <protection/>
    </xf>
    <xf numFmtId="4" fontId="0" fillId="29" borderId="10" xfId="58" applyNumberFormat="1" applyFill="1" applyBorder="1" applyAlignment="1">
      <alignment horizontal="center"/>
      <protection/>
    </xf>
    <xf numFmtId="198" fontId="0" fillId="29" borderId="10" xfId="69" applyNumberFormat="1" applyFont="1" applyFill="1" applyBorder="1" applyAlignment="1">
      <alignment horizontal="center"/>
    </xf>
    <xf numFmtId="217" fontId="8" fillId="29" borderId="0" xfId="58" applyNumberFormat="1" applyFont="1" applyFill="1" applyBorder="1">
      <alignment/>
      <protection/>
    </xf>
    <xf numFmtId="217" fontId="0" fillId="29" borderId="0" xfId="58" applyNumberFormat="1" applyFill="1">
      <alignment/>
      <protection/>
    </xf>
    <xf numFmtId="217" fontId="0" fillId="29" borderId="0" xfId="58" applyNumberFormat="1" applyFont="1" applyFill="1">
      <alignment/>
      <protection/>
    </xf>
    <xf numFmtId="17" fontId="0" fillId="29" borderId="42" xfId="58" applyNumberFormat="1" applyFont="1" applyFill="1" applyBorder="1" applyAlignment="1">
      <alignment horizontal="left"/>
      <protection/>
    </xf>
    <xf numFmtId="217" fontId="0" fillId="29" borderId="42" xfId="58" applyNumberFormat="1" applyFont="1" applyFill="1" applyBorder="1">
      <alignment/>
      <protection/>
    </xf>
    <xf numFmtId="217" fontId="8" fillId="29" borderId="0" xfId="58" applyNumberFormat="1" applyFont="1" applyFill="1">
      <alignment/>
      <protection/>
    </xf>
    <xf numFmtId="204" fontId="8" fillId="29" borderId="0" xfId="58" applyNumberFormat="1" applyFont="1" applyFill="1">
      <alignment/>
      <protection/>
    </xf>
    <xf numFmtId="0" fontId="8" fillId="29" borderId="0" xfId="58" applyFont="1" applyFill="1">
      <alignment/>
      <protection/>
    </xf>
    <xf numFmtId="17" fontId="0" fillId="29" borderId="63" xfId="58" applyNumberFormat="1" applyFont="1" applyFill="1" applyBorder="1" applyAlignment="1">
      <alignment horizontal="left"/>
      <protection/>
    </xf>
    <xf numFmtId="217" fontId="0" fillId="29" borderId="63" xfId="58" applyNumberFormat="1" applyFont="1" applyFill="1" applyBorder="1">
      <alignment/>
      <protection/>
    </xf>
    <xf numFmtId="205" fontId="8" fillId="29" borderId="0" xfId="58" applyNumberFormat="1" applyFont="1" applyFill="1">
      <alignment/>
      <protection/>
    </xf>
    <xf numFmtId="0" fontId="0" fillId="29" borderId="0" xfId="58" applyFill="1">
      <alignment/>
      <protection/>
    </xf>
    <xf numFmtId="206" fontId="0" fillId="29" borderId="42" xfId="58" applyNumberFormat="1" applyFont="1" applyFill="1" applyBorder="1">
      <alignment/>
      <protection/>
    </xf>
    <xf numFmtId="205" fontId="0" fillId="29" borderId="42" xfId="58" applyNumberFormat="1" applyFont="1" applyFill="1" applyBorder="1">
      <alignment/>
      <protection/>
    </xf>
    <xf numFmtId="206" fontId="8" fillId="29" borderId="0" xfId="58" applyNumberFormat="1" applyFont="1" applyFill="1">
      <alignment/>
      <protection/>
    </xf>
    <xf numFmtId="205" fontId="0" fillId="29" borderId="63" xfId="58" applyNumberFormat="1" applyFont="1" applyFill="1" applyBorder="1">
      <alignment/>
      <protection/>
    </xf>
    <xf numFmtId="204" fontId="0" fillId="29" borderId="63" xfId="58" applyNumberFormat="1" applyFont="1" applyFill="1" applyBorder="1">
      <alignment/>
      <protection/>
    </xf>
    <xf numFmtId="0" fontId="0" fillId="29" borderId="63" xfId="58" applyFont="1" applyFill="1" applyBorder="1">
      <alignment/>
      <protection/>
    </xf>
    <xf numFmtId="217" fontId="7" fillId="29" borderId="0" xfId="58" applyNumberFormat="1" applyFont="1" applyFill="1">
      <alignment/>
      <protection/>
    </xf>
    <xf numFmtId="205" fontId="0" fillId="29" borderId="0" xfId="58" applyNumberFormat="1" applyFont="1" applyFill="1">
      <alignment/>
      <protection/>
    </xf>
    <xf numFmtId="206" fontId="0" fillId="29" borderId="0" xfId="58" applyNumberFormat="1" applyFont="1" applyFill="1">
      <alignment/>
      <protection/>
    </xf>
    <xf numFmtId="204" fontId="0" fillId="29" borderId="42" xfId="58" applyNumberFormat="1" applyFont="1" applyFill="1" applyBorder="1">
      <alignment/>
      <protection/>
    </xf>
    <xf numFmtId="0" fontId="0" fillId="29" borderId="42" xfId="58" applyFont="1" applyFill="1" applyBorder="1">
      <alignment/>
      <protection/>
    </xf>
    <xf numFmtId="206" fontId="0" fillId="29" borderId="63" xfId="58" applyNumberFormat="1" applyFont="1" applyFill="1" applyBorder="1">
      <alignment/>
      <protection/>
    </xf>
    <xf numFmtId="198" fontId="0" fillId="29" borderId="0" xfId="69" applyNumberFormat="1" applyFont="1" applyFill="1" applyAlignment="1">
      <alignment/>
    </xf>
    <xf numFmtId="17" fontId="0" fillId="29" borderId="0" xfId="58" applyNumberFormat="1" applyFont="1" applyFill="1">
      <alignment/>
      <protection/>
    </xf>
    <xf numFmtId="0" fontId="0" fillId="0" borderId="0" xfId="58">
      <alignment/>
      <protection/>
    </xf>
    <xf numFmtId="0" fontId="1" fillId="0" borderId="0" xfId="58" applyFont="1" applyBorder="1">
      <alignment/>
      <protection/>
    </xf>
    <xf numFmtId="0" fontId="29" fillId="0" borderId="0" xfId="58" applyFont="1">
      <alignment/>
      <protection/>
    </xf>
    <xf numFmtId="0" fontId="31" fillId="29" borderId="83" xfId="58" applyFont="1" applyFill="1" applyBorder="1" applyAlignment="1">
      <alignment horizontal="center"/>
      <protection/>
    </xf>
    <xf numFmtId="0" fontId="31" fillId="29" borderId="41" xfId="58" applyFont="1" applyFill="1" applyBorder="1">
      <alignment/>
      <protection/>
    </xf>
    <xf numFmtId="3" fontId="0" fillId="29" borderId="41" xfId="58" applyNumberFormat="1" applyFont="1" applyFill="1" applyBorder="1">
      <alignment/>
      <protection/>
    </xf>
    <xf numFmtId="3" fontId="31" fillId="29" borderId="41" xfId="58" applyNumberFormat="1" applyFont="1" applyFill="1" applyBorder="1">
      <alignment/>
      <protection/>
    </xf>
    <xf numFmtId="3" fontId="31" fillId="29" borderId="29" xfId="58" applyNumberFormat="1" applyFont="1" applyFill="1" applyBorder="1">
      <alignment/>
      <protection/>
    </xf>
    <xf numFmtId="3" fontId="32" fillId="29" borderId="84" xfId="58" applyNumberFormat="1" applyFont="1" applyFill="1" applyBorder="1">
      <alignment/>
      <protection/>
    </xf>
    <xf numFmtId="3" fontId="4" fillId="29" borderId="0" xfId="58" applyNumberFormat="1" applyFont="1" applyFill="1" applyBorder="1">
      <alignment/>
      <protection/>
    </xf>
    <xf numFmtId="0" fontId="4" fillId="29" borderId="0" xfId="58" applyFont="1" applyFill="1" applyBorder="1">
      <alignment/>
      <protection/>
    </xf>
    <xf numFmtId="0" fontId="31" fillId="29" borderId="85" xfId="58" applyFont="1" applyFill="1" applyBorder="1" applyAlignment="1">
      <alignment horizontal="center"/>
      <protection/>
    </xf>
    <xf numFmtId="0" fontId="31" fillId="29" borderId="10" xfId="58" applyFont="1" applyFill="1" applyBorder="1">
      <alignment/>
      <protection/>
    </xf>
    <xf numFmtId="3" fontId="26" fillId="29" borderId="10" xfId="58" applyNumberFormat="1" applyFont="1" applyFill="1" applyBorder="1">
      <alignment/>
      <protection/>
    </xf>
    <xf numFmtId="3" fontId="33" fillId="29" borderId="10" xfId="58" applyNumberFormat="1" applyFont="1" applyFill="1" applyBorder="1">
      <alignment/>
      <protection/>
    </xf>
    <xf numFmtId="3" fontId="31" fillId="29" borderId="10" xfId="58" applyNumberFormat="1" applyFont="1" applyFill="1" applyBorder="1">
      <alignment/>
      <protection/>
    </xf>
    <xf numFmtId="3" fontId="31" fillId="29" borderId="30" xfId="58" applyNumberFormat="1" applyFont="1" applyFill="1" applyBorder="1">
      <alignment/>
      <protection/>
    </xf>
    <xf numFmtId="3" fontId="32" fillId="29" borderId="86" xfId="58" applyNumberFormat="1" applyFont="1" applyFill="1" applyBorder="1">
      <alignment/>
      <protection/>
    </xf>
    <xf numFmtId="3" fontId="0" fillId="29" borderId="10" xfId="58" applyNumberFormat="1" applyFont="1" applyFill="1" applyBorder="1">
      <alignment/>
      <protection/>
    </xf>
    <xf numFmtId="3" fontId="0" fillId="29" borderId="0" xfId="58" applyNumberFormat="1" applyFill="1" applyBorder="1">
      <alignment/>
      <protection/>
    </xf>
    <xf numFmtId="0" fontId="0" fillId="29" borderId="0" xfId="58" applyFill="1" applyBorder="1">
      <alignment/>
      <protection/>
    </xf>
    <xf numFmtId="0" fontId="160" fillId="29" borderId="0" xfId="58" applyFont="1" applyFill="1" applyBorder="1">
      <alignment/>
      <protection/>
    </xf>
    <xf numFmtId="3" fontId="0" fillId="29" borderId="45" xfId="58" applyNumberFormat="1" applyFill="1" applyBorder="1">
      <alignment/>
      <protection/>
    </xf>
    <xf numFmtId="3" fontId="0" fillId="29" borderId="12" xfId="58" applyNumberFormat="1" applyFill="1" applyBorder="1">
      <alignment/>
      <protection/>
    </xf>
    <xf numFmtId="3" fontId="160" fillId="29" borderId="0" xfId="58" applyNumberFormat="1" applyFont="1" applyFill="1" applyBorder="1">
      <alignment/>
      <protection/>
    </xf>
    <xf numFmtId="3" fontId="31" fillId="29" borderId="37" xfId="58" applyNumberFormat="1" applyFont="1" applyFill="1" applyBorder="1">
      <alignment/>
      <protection/>
    </xf>
    <xf numFmtId="3" fontId="4" fillId="0" borderId="87" xfId="58" applyNumberFormat="1" applyFont="1" applyFill="1" applyBorder="1">
      <alignment/>
      <protection/>
    </xf>
    <xf numFmtId="3" fontId="4" fillId="0" borderId="88" xfId="58" applyNumberFormat="1" applyFont="1" applyFill="1" applyBorder="1">
      <alignment/>
      <protection/>
    </xf>
    <xf numFmtId="3" fontId="35" fillId="0" borderId="88" xfId="58" applyNumberFormat="1" applyFont="1" applyFill="1" applyBorder="1">
      <alignment/>
      <protection/>
    </xf>
    <xf numFmtId="3" fontId="35" fillId="0" borderId="89" xfId="58" applyNumberFormat="1" applyFont="1" applyFill="1" applyBorder="1">
      <alignment/>
      <protection/>
    </xf>
    <xf numFmtId="3" fontId="32" fillId="0" borderId="90" xfId="58" applyNumberFormat="1" applyFont="1" applyFill="1" applyBorder="1">
      <alignment/>
      <protection/>
    </xf>
    <xf numFmtId="3" fontId="4" fillId="0" borderId="0" xfId="58" applyNumberFormat="1" applyFont="1" applyBorder="1">
      <alignment/>
      <protection/>
    </xf>
    <xf numFmtId="3" fontId="0" fillId="0" borderId="0" xfId="58" applyNumberFormat="1" applyBorder="1">
      <alignment/>
      <protection/>
    </xf>
    <xf numFmtId="0" fontId="0" fillId="0" borderId="0" xfId="58" applyBorder="1">
      <alignment/>
      <protection/>
    </xf>
    <xf numFmtId="0" fontId="35" fillId="0" borderId="0" xfId="58" applyFont="1" applyFill="1" applyBorder="1" applyAlignment="1">
      <alignment horizontal="center"/>
      <protection/>
    </xf>
    <xf numFmtId="3" fontId="4" fillId="0" borderId="0" xfId="58" applyNumberFormat="1" applyFont="1" applyFill="1" applyBorder="1">
      <alignment/>
      <protection/>
    </xf>
    <xf numFmtId="3" fontId="35" fillId="0" borderId="0" xfId="58" applyNumberFormat="1" applyFont="1" applyFill="1" applyBorder="1">
      <alignment/>
      <protection/>
    </xf>
    <xf numFmtId="3" fontId="32" fillId="0" borderId="0" xfId="58" applyNumberFormat="1" applyFont="1" applyFill="1" applyBorder="1">
      <alignment/>
      <protection/>
    </xf>
    <xf numFmtId="3" fontId="26" fillId="29" borderId="41" xfId="58" applyNumberFormat="1" applyFont="1" applyFill="1" applyBorder="1">
      <alignment/>
      <protection/>
    </xf>
    <xf numFmtId="3" fontId="33" fillId="29" borderId="41" xfId="58" applyNumberFormat="1" applyFont="1" applyFill="1" applyBorder="1">
      <alignment/>
      <protection/>
    </xf>
    <xf numFmtId="0" fontId="31" fillId="29" borderId="91" xfId="58" applyFont="1" applyFill="1" applyBorder="1" applyAlignment="1">
      <alignment horizontal="center"/>
      <protection/>
    </xf>
    <xf numFmtId="0" fontId="31" fillId="29" borderId="35" xfId="58" applyFont="1" applyFill="1" applyBorder="1">
      <alignment/>
      <protection/>
    </xf>
    <xf numFmtId="3" fontId="0" fillId="29" borderId="35" xfId="58" applyNumberFormat="1" applyFont="1" applyFill="1" applyBorder="1">
      <alignment/>
      <protection/>
    </xf>
    <xf numFmtId="3" fontId="31" fillId="29" borderId="35" xfId="58" applyNumberFormat="1" applyFont="1" applyFill="1" applyBorder="1">
      <alignment/>
      <protection/>
    </xf>
    <xf numFmtId="3" fontId="32" fillId="29" borderId="92" xfId="58" applyNumberFormat="1" applyFont="1" applyFill="1" applyBorder="1">
      <alignment/>
      <protection/>
    </xf>
    <xf numFmtId="3" fontId="4" fillId="29" borderId="87" xfId="58" applyNumberFormat="1" applyFont="1" applyFill="1" applyBorder="1">
      <alignment/>
      <protection/>
    </xf>
    <xf numFmtId="3" fontId="4" fillId="29" borderId="88" xfId="58" applyNumberFormat="1" applyFont="1" applyFill="1" applyBorder="1">
      <alignment/>
      <protection/>
    </xf>
    <xf numFmtId="3" fontId="35" fillId="29" borderId="88" xfId="58" applyNumberFormat="1" applyFont="1" applyFill="1" applyBorder="1">
      <alignment/>
      <protection/>
    </xf>
    <xf numFmtId="0" fontId="35" fillId="29" borderId="88" xfId="58" applyFont="1" applyFill="1" applyBorder="1">
      <alignment/>
      <protection/>
    </xf>
    <xf numFmtId="3" fontId="35" fillId="29" borderId="89" xfId="58" applyNumberFormat="1" applyFont="1" applyFill="1" applyBorder="1">
      <alignment/>
      <protection/>
    </xf>
    <xf numFmtId="3" fontId="35" fillId="29" borderId="93" xfId="58" applyNumberFormat="1" applyFont="1" applyFill="1" applyBorder="1">
      <alignment/>
      <protection/>
    </xf>
    <xf numFmtId="3" fontId="32" fillId="29" borderId="90" xfId="58" applyNumberFormat="1" applyFont="1" applyFill="1" applyBorder="1">
      <alignment/>
      <protection/>
    </xf>
    <xf numFmtId="0" fontId="35" fillId="29" borderId="0" xfId="58" applyFont="1" applyFill="1" applyBorder="1" applyAlignment="1">
      <alignment horizontal="center"/>
      <protection/>
    </xf>
    <xf numFmtId="3" fontId="35" fillId="29" borderId="0" xfId="58" applyNumberFormat="1" applyFont="1" applyFill="1" applyBorder="1">
      <alignment/>
      <protection/>
    </xf>
    <xf numFmtId="0" fontId="35" fillId="29" borderId="0" xfId="58" applyFont="1" applyFill="1" applyBorder="1">
      <alignment/>
      <protection/>
    </xf>
    <xf numFmtId="3" fontId="32" fillId="29" borderId="0" xfId="58" applyNumberFormat="1" applyFont="1" applyFill="1" applyBorder="1">
      <alignment/>
      <protection/>
    </xf>
    <xf numFmtId="0" fontId="31" fillId="29" borderId="10" xfId="58" applyFont="1" applyFill="1" applyBorder="1" applyAlignment="1">
      <alignment horizontal="left" vertical="center" wrapText="1"/>
      <protection/>
    </xf>
    <xf numFmtId="3" fontId="0" fillId="29" borderId="0" xfId="58" applyNumberFormat="1" applyFill="1">
      <alignment/>
      <protection/>
    </xf>
    <xf numFmtId="0" fontId="31" fillId="29" borderId="85" xfId="58" applyFont="1" applyFill="1" applyBorder="1" applyAlignment="1">
      <alignment horizontal="center" vertical="center" wrapText="1"/>
      <protection/>
    </xf>
    <xf numFmtId="0" fontId="31" fillId="29" borderId="94" xfId="58" applyFont="1" applyFill="1" applyBorder="1" applyAlignment="1">
      <alignment horizontal="center" vertical="center" wrapText="1"/>
      <protection/>
    </xf>
    <xf numFmtId="0" fontId="31" fillId="29" borderId="42" xfId="58" applyFont="1" applyFill="1" applyBorder="1" applyAlignment="1">
      <alignment horizontal="left" vertical="center" wrapText="1"/>
      <protection/>
    </xf>
    <xf numFmtId="3" fontId="0" fillId="29" borderId="42" xfId="58" applyNumberFormat="1" applyFont="1" applyFill="1" applyBorder="1">
      <alignment/>
      <protection/>
    </xf>
    <xf numFmtId="3" fontId="31" fillId="29" borderId="42" xfId="58" applyNumberFormat="1" applyFont="1" applyFill="1" applyBorder="1">
      <alignment/>
      <protection/>
    </xf>
    <xf numFmtId="0" fontId="0" fillId="29" borderId="73" xfId="58" applyFill="1" applyBorder="1">
      <alignment/>
      <protection/>
    </xf>
    <xf numFmtId="3" fontId="32" fillId="29" borderId="95" xfId="58" applyNumberFormat="1" applyFont="1" applyFill="1" applyBorder="1">
      <alignment/>
      <protection/>
    </xf>
    <xf numFmtId="3" fontId="4" fillId="0" borderId="96" xfId="58" applyNumberFormat="1" applyFont="1" applyFill="1" applyBorder="1">
      <alignment/>
      <protection/>
    </xf>
    <xf numFmtId="0" fontId="31" fillId="0" borderId="0" xfId="58" applyFont="1" applyBorder="1">
      <alignment/>
      <protection/>
    </xf>
    <xf numFmtId="0" fontId="35" fillId="0" borderId="0" xfId="58" applyFont="1" applyBorder="1">
      <alignment/>
      <protection/>
    </xf>
    <xf numFmtId="3" fontId="32" fillId="0" borderId="0" xfId="58" applyNumberFormat="1" applyFont="1" applyBorder="1">
      <alignment/>
      <protection/>
    </xf>
    <xf numFmtId="3" fontId="32" fillId="0" borderId="88" xfId="58" applyNumberFormat="1" applyFont="1" applyFill="1" applyBorder="1">
      <alignment/>
      <protection/>
    </xf>
    <xf numFmtId="3" fontId="32" fillId="0" borderId="89" xfId="58" applyNumberFormat="1" applyFont="1" applyFill="1" applyBorder="1">
      <alignment/>
      <protection/>
    </xf>
    <xf numFmtId="0" fontId="36" fillId="0" borderId="0" xfId="58" applyFont="1">
      <alignment/>
      <protection/>
    </xf>
    <xf numFmtId="0" fontId="0" fillId="0" borderId="0" xfId="58" applyFont="1">
      <alignment/>
      <protection/>
    </xf>
    <xf numFmtId="9" fontId="4" fillId="0" borderId="0" xfId="69" applyNumberFormat="1" applyFont="1" applyAlignment="1">
      <alignment/>
    </xf>
    <xf numFmtId="9" fontId="0" fillId="0" borderId="0" xfId="69" applyFont="1" applyAlignment="1">
      <alignment/>
    </xf>
    <xf numFmtId="0" fontId="0" fillId="0" borderId="0" xfId="58" applyFont="1" applyBorder="1">
      <alignment/>
      <protection/>
    </xf>
    <xf numFmtId="0" fontId="37" fillId="0" borderId="0" xfId="58" applyFont="1">
      <alignment/>
      <protection/>
    </xf>
    <xf numFmtId="9" fontId="4" fillId="0" borderId="0" xfId="69" applyFont="1" applyAlignment="1">
      <alignment/>
    </xf>
    <xf numFmtId="9" fontId="0" fillId="0" borderId="0" xfId="69" applyAlignment="1">
      <alignment/>
    </xf>
    <xf numFmtId="0" fontId="9" fillId="0" borderId="0" xfId="58" applyFont="1" applyAlignment="1">
      <alignment horizontal="left"/>
      <protection/>
    </xf>
    <xf numFmtId="0" fontId="31" fillId="29" borderId="97" xfId="58" applyFont="1" applyFill="1" applyBorder="1" applyAlignment="1">
      <alignment horizontal="center"/>
      <protection/>
    </xf>
    <xf numFmtId="0" fontId="31" fillId="29" borderId="98" xfId="58" applyFont="1" applyFill="1" applyBorder="1">
      <alignment/>
      <protection/>
    </xf>
    <xf numFmtId="3" fontId="31" fillId="29" borderId="98" xfId="58" applyNumberFormat="1" applyFont="1" applyFill="1" applyBorder="1">
      <alignment/>
      <protection/>
    </xf>
    <xf numFmtId="3" fontId="31" fillId="29" borderId="99" xfId="58" applyNumberFormat="1" applyFont="1" applyFill="1" applyBorder="1">
      <alignment/>
      <protection/>
    </xf>
    <xf numFmtId="3" fontId="31" fillId="29" borderId="100" xfId="58" applyNumberFormat="1" applyFont="1" applyFill="1" applyBorder="1">
      <alignment/>
      <protection/>
    </xf>
    <xf numFmtId="3" fontId="32" fillId="29" borderId="18" xfId="58" applyNumberFormat="1" applyFont="1" applyFill="1" applyBorder="1">
      <alignment/>
      <protection/>
    </xf>
    <xf numFmtId="0" fontId="31" fillId="29" borderId="101" xfId="58" applyFont="1" applyFill="1" applyBorder="1" applyAlignment="1">
      <alignment horizontal="center"/>
      <protection/>
    </xf>
    <xf numFmtId="0" fontId="31" fillId="29" borderId="102" xfId="58" applyFont="1" applyFill="1" applyBorder="1">
      <alignment/>
      <protection/>
    </xf>
    <xf numFmtId="3" fontId="31" fillId="29" borderId="102" xfId="58" applyNumberFormat="1" applyFont="1" applyFill="1" applyBorder="1">
      <alignment/>
      <protection/>
    </xf>
    <xf numFmtId="0" fontId="31" fillId="29" borderId="103" xfId="58" applyFont="1" applyFill="1" applyBorder="1">
      <alignment/>
      <protection/>
    </xf>
    <xf numFmtId="0" fontId="31" fillId="29" borderId="104" xfId="58" applyFont="1" applyFill="1" applyBorder="1">
      <alignment/>
      <protection/>
    </xf>
    <xf numFmtId="3" fontId="32" fillId="29" borderId="15" xfId="58" applyNumberFormat="1" applyFont="1" applyFill="1" applyBorder="1">
      <alignment/>
      <protection/>
    </xf>
    <xf numFmtId="3" fontId="31" fillId="29" borderId="103" xfId="58" applyNumberFormat="1" applyFont="1" applyFill="1" applyBorder="1">
      <alignment/>
      <protection/>
    </xf>
    <xf numFmtId="3" fontId="31" fillId="29" borderId="104" xfId="58" applyNumberFormat="1" applyFont="1" applyFill="1" applyBorder="1">
      <alignment/>
      <protection/>
    </xf>
    <xf numFmtId="0" fontId="31" fillId="29" borderId="21" xfId="58" applyFont="1" applyFill="1" applyBorder="1" applyAlignment="1">
      <alignment horizontal="center"/>
      <protection/>
    </xf>
    <xf numFmtId="0" fontId="31" fillId="29" borderId="13" xfId="58" applyFont="1" applyFill="1" applyBorder="1">
      <alignment/>
      <protection/>
    </xf>
    <xf numFmtId="3" fontId="31" fillId="29" borderId="13" xfId="58" applyNumberFormat="1" applyFont="1" applyFill="1" applyBorder="1">
      <alignment/>
      <protection/>
    </xf>
    <xf numFmtId="3" fontId="31" fillId="29" borderId="50" xfId="58" applyNumberFormat="1" applyFont="1" applyFill="1" applyBorder="1">
      <alignment/>
      <protection/>
    </xf>
    <xf numFmtId="3" fontId="31" fillId="29" borderId="48" xfId="58" applyNumberFormat="1" applyFont="1" applyFill="1" applyBorder="1">
      <alignment/>
      <protection/>
    </xf>
    <xf numFmtId="3" fontId="32" fillId="29" borderId="17" xfId="58" applyNumberFormat="1" applyFont="1" applyFill="1" applyBorder="1">
      <alignment/>
      <protection/>
    </xf>
    <xf numFmtId="3" fontId="35" fillId="25" borderId="13" xfId="58" applyNumberFormat="1" applyFont="1" applyFill="1" applyBorder="1">
      <alignment/>
      <protection/>
    </xf>
    <xf numFmtId="3" fontId="35" fillId="25" borderId="48" xfId="58" applyNumberFormat="1" applyFont="1" applyFill="1" applyBorder="1">
      <alignment/>
      <protection/>
    </xf>
    <xf numFmtId="3" fontId="32" fillId="25" borderId="40" xfId="58" applyNumberFormat="1" applyFont="1" applyFill="1" applyBorder="1">
      <alignment/>
      <protection/>
    </xf>
    <xf numFmtId="3" fontId="33" fillId="29" borderId="98" xfId="58" applyNumberFormat="1" applyFont="1" applyFill="1" applyBorder="1">
      <alignment/>
      <protection/>
    </xf>
    <xf numFmtId="3" fontId="33" fillId="29" borderId="100" xfId="58" applyNumberFormat="1" applyFont="1" applyFill="1" applyBorder="1">
      <alignment/>
      <protection/>
    </xf>
    <xf numFmtId="3" fontId="33" fillId="29" borderId="99" xfId="58" applyNumberFormat="1" applyFont="1" applyFill="1" applyBorder="1">
      <alignment/>
      <protection/>
    </xf>
    <xf numFmtId="3" fontId="32" fillId="29" borderId="105" xfId="58" applyNumberFormat="1" applyFont="1" applyFill="1" applyBorder="1">
      <alignment/>
      <protection/>
    </xf>
    <xf numFmtId="3" fontId="33" fillId="29" borderId="102" xfId="58" applyNumberFormat="1" applyFont="1" applyFill="1" applyBorder="1">
      <alignment/>
      <protection/>
    </xf>
    <xf numFmtId="3" fontId="33" fillId="29" borderId="103" xfId="58" applyNumberFormat="1" applyFont="1" applyFill="1" applyBorder="1">
      <alignment/>
      <protection/>
    </xf>
    <xf numFmtId="3" fontId="33" fillId="29" borderId="104" xfId="58" applyNumberFormat="1" applyFont="1" applyFill="1" applyBorder="1">
      <alignment/>
      <protection/>
    </xf>
    <xf numFmtId="3" fontId="32" fillId="29" borderId="106" xfId="58" applyNumberFormat="1" applyFont="1" applyFill="1" applyBorder="1">
      <alignment/>
      <protection/>
    </xf>
    <xf numFmtId="0" fontId="31" fillId="29" borderId="107" xfId="58" applyFont="1" applyFill="1" applyBorder="1">
      <alignment/>
      <protection/>
    </xf>
    <xf numFmtId="0" fontId="31" fillId="29" borderId="39" xfId="58" applyFont="1" applyFill="1" applyBorder="1">
      <alignment/>
      <protection/>
    </xf>
    <xf numFmtId="3" fontId="32" fillId="29" borderId="108" xfId="58" applyNumberFormat="1" applyFont="1" applyFill="1" applyBorder="1">
      <alignment/>
      <protection/>
    </xf>
    <xf numFmtId="3" fontId="35" fillId="25" borderId="88" xfId="58" applyNumberFormat="1" applyFont="1" applyFill="1" applyBorder="1">
      <alignment/>
      <protection/>
    </xf>
    <xf numFmtId="3" fontId="32" fillId="25" borderId="90" xfId="58" applyNumberFormat="1" applyFont="1" applyFill="1" applyBorder="1">
      <alignment/>
      <protection/>
    </xf>
    <xf numFmtId="209" fontId="31" fillId="29" borderId="102" xfId="58" applyNumberFormat="1" applyFont="1" applyFill="1" applyBorder="1">
      <alignment/>
      <protection/>
    </xf>
    <xf numFmtId="3" fontId="38" fillId="29" borderId="102" xfId="58" applyNumberFormat="1" applyFont="1" applyFill="1" applyBorder="1">
      <alignment/>
      <protection/>
    </xf>
    <xf numFmtId="3" fontId="38" fillId="29" borderId="103" xfId="58" applyNumberFormat="1" applyFont="1" applyFill="1" applyBorder="1">
      <alignment/>
      <protection/>
    </xf>
    <xf numFmtId="3" fontId="38" fillId="29" borderId="104" xfId="58" applyNumberFormat="1" applyFont="1" applyFill="1" applyBorder="1">
      <alignment/>
      <protection/>
    </xf>
    <xf numFmtId="3" fontId="31" fillId="29" borderId="104" xfId="58" applyNumberFormat="1" applyFont="1" applyFill="1" applyBorder="1" applyAlignment="1">
      <alignment horizontal="center"/>
      <protection/>
    </xf>
    <xf numFmtId="0" fontId="31" fillId="0" borderId="13" xfId="58" applyFont="1" applyFill="1" applyBorder="1">
      <alignment/>
      <protection/>
    </xf>
    <xf numFmtId="3" fontId="31" fillId="0" borderId="13" xfId="58" applyNumberFormat="1" applyFont="1" applyFill="1" applyBorder="1">
      <alignment/>
      <protection/>
    </xf>
    <xf numFmtId="3" fontId="31" fillId="0" borderId="50" xfId="58" applyNumberFormat="1" applyFont="1" applyFill="1" applyBorder="1">
      <alignment/>
      <protection/>
    </xf>
    <xf numFmtId="3" fontId="31" fillId="0" borderId="48" xfId="58" applyNumberFormat="1" applyFont="1" applyFill="1" applyBorder="1">
      <alignment/>
      <protection/>
    </xf>
    <xf numFmtId="3" fontId="32" fillId="0" borderId="106" xfId="58" applyNumberFormat="1" applyFont="1" applyFill="1" applyBorder="1">
      <alignment/>
      <protection/>
    </xf>
    <xf numFmtId="3" fontId="0" fillId="0" borderId="0" xfId="58" applyNumberFormat="1">
      <alignment/>
      <protection/>
    </xf>
    <xf numFmtId="0" fontId="31" fillId="0" borderId="0" xfId="58" applyFont="1" applyFill="1" applyBorder="1" applyAlignment="1">
      <alignment horizontal="left"/>
      <protection/>
    </xf>
    <xf numFmtId="3" fontId="4" fillId="0" borderId="89" xfId="58" applyNumberFormat="1" applyFont="1" applyFill="1" applyBorder="1">
      <alignment/>
      <protection/>
    </xf>
    <xf numFmtId="3" fontId="4" fillId="0" borderId="90" xfId="58" applyNumberFormat="1" applyFont="1" applyFill="1" applyBorder="1">
      <alignment/>
      <protection/>
    </xf>
    <xf numFmtId="0" fontId="31" fillId="0" borderId="0" xfId="58" applyFont="1" applyFill="1" applyBorder="1" applyAlignment="1">
      <alignment horizontal="center"/>
      <protection/>
    </xf>
    <xf numFmtId="0" fontId="40" fillId="0" borderId="0" xfId="58" applyFont="1" applyFill="1" applyBorder="1">
      <alignment/>
      <protection/>
    </xf>
    <xf numFmtId="3" fontId="32" fillId="25" borderId="88" xfId="58" applyNumberFormat="1" applyFont="1" applyFill="1" applyBorder="1">
      <alignment/>
      <protection/>
    </xf>
    <xf numFmtId="3" fontId="32" fillId="25" borderId="93" xfId="58" applyNumberFormat="1" applyFont="1" applyFill="1" applyBorder="1">
      <alignment/>
      <protection/>
    </xf>
    <xf numFmtId="3" fontId="161" fillId="0" borderId="0" xfId="58" applyNumberFormat="1" applyFont="1" applyBorder="1">
      <alignment/>
      <protection/>
    </xf>
    <xf numFmtId="0" fontId="162" fillId="0" borderId="0" xfId="58" applyFont="1">
      <alignment/>
      <protection/>
    </xf>
    <xf numFmtId="0" fontId="0" fillId="0" borderId="0" xfId="58" applyFill="1" applyBorder="1">
      <alignment/>
      <protection/>
    </xf>
    <xf numFmtId="3" fontId="162" fillId="0" borderId="0" xfId="58" applyNumberFormat="1" applyFont="1" applyBorder="1">
      <alignment/>
      <protection/>
    </xf>
    <xf numFmtId="0" fontId="41" fillId="0" borderId="0" xfId="58" applyFont="1" applyBorder="1">
      <alignment/>
      <protection/>
    </xf>
    <xf numFmtId="3" fontId="162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162" fillId="0" borderId="0" xfId="58" applyFont="1" applyBorder="1">
      <alignment/>
      <protection/>
    </xf>
    <xf numFmtId="0" fontId="163" fillId="29" borderId="0" xfId="58" applyFont="1" applyFill="1">
      <alignment/>
      <protection/>
    </xf>
    <xf numFmtId="0" fontId="163" fillId="0" borderId="0" xfId="58" applyFont="1">
      <alignment/>
      <protection/>
    </xf>
    <xf numFmtId="0" fontId="163" fillId="0" borderId="10" xfId="58" applyFont="1" applyBorder="1">
      <alignment/>
      <protection/>
    </xf>
    <xf numFmtId="0" fontId="13" fillId="0" borderId="0" xfId="58" applyFont="1" applyAlignment="1">
      <alignment horizontal="left"/>
      <protection/>
    </xf>
    <xf numFmtId="0" fontId="13" fillId="29" borderId="0" xfId="58" applyFont="1" applyFill="1" applyAlignment="1">
      <alignment horizontal="left"/>
      <protection/>
    </xf>
    <xf numFmtId="0" fontId="164" fillId="29" borderId="0" xfId="58" applyFont="1" applyFill="1" applyAlignment="1">
      <alignment horizontal="left"/>
      <protection/>
    </xf>
    <xf numFmtId="3" fontId="163" fillId="0" borderId="0" xfId="58" applyNumberFormat="1" applyFont="1">
      <alignment/>
      <protection/>
    </xf>
    <xf numFmtId="0" fontId="2" fillId="29" borderId="0" xfId="58" applyFont="1" applyFill="1" applyBorder="1" applyAlignment="1">
      <alignment horizontal="center"/>
      <protection/>
    </xf>
    <xf numFmtId="0" fontId="165" fillId="29" borderId="0" xfId="58" applyFont="1" applyFill="1" applyBorder="1" applyAlignment="1">
      <alignment horizontal="center"/>
      <protection/>
    </xf>
    <xf numFmtId="1" fontId="163" fillId="0" borderId="0" xfId="58" applyNumberFormat="1" applyFont="1">
      <alignment/>
      <protection/>
    </xf>
    <xf numFmtId="3" fontId="4" fillId="0" borderId="10" xfId="58" applyNumberFormat="1" applyFont="1" applyFill="1" applyBorder="1">
      <alignment/>
      <protection/>
    </xf>
    <xf numFmtId="3" fontId="165" fillId="29" borderId="0" xfId="58" applyNumberFormat="1" applyFont="1" applyFill="1" applyBorder="1">
      <alignment/>
      <protection/>
    </xf>
    <xf numFmtId="0" fontId="163" fillId="0" borderId="0" xfId="58" applyFont="1" applyAlignment="1">
      <alignment horizontal="center"/>
      <protection/>
    </xf>
    <xf numFmtId="0" fontId="163" fillId="0" borderId="0" xfId="58" applyFont="1" applyBorder="1">
      <alignment/>
      <protection/>
    </xf>
    <xf numFmtId="0" fontId="4" fillId="0" borderId="10" xfId="58" applyFont="1" applyFill="1" applyBorder="1">
      <alignment/>
      <protection/>
    </xf>
    <xf numFmtId="216" fontId="4" fillId="0" borderId="10" xfId="58" applyNumberFormat="1" applyFont="1" applyFill="1" applyBorder="1" applyAlignment="1">
      <alignment horizontal="center"/>
      <protection/>
    </xf>
    <xf numFmtId="9" fontId="165" fillId="29" borderId="0" xfId="71" applyFont="1" applyFill="1" applyBorder="1" applyAlignment="1">
      <alignment horizontal="center"/>
    </xf>
    <xf numFmtId="216" fontId="165" fillId="29" borderId="0" xfId="58" applyNumberFormat="1" applyFont="1" applyFill="1" applyBorder="1" applyAlignment="1">
      <alignment horizontal="center"/>
      <protection/>
    </xf>
    <xf numFmtId="3" fontId="163" fillId="0" borderId="0" xfId="58" applyNumberFormat="1" applyFont="1" applyBorder="1">
      <alignment/>
      <protection/>
    </xf>
    <xf numFmtId="0" fontId="4" fillId="0" borderId="36" xfId="58" applyFont="1" applyBorder="1">
      <alignment/>
      <protection/>
    </xf>
    <xf numFmtId="216" fontId="0" fillId="0" borderId="36" xfId="58" applyNumberFormat="1" applyBorder="1">
      <alignment/>
      <protection/>
    </xf>
    <xf numFmtId="216" fontId="4" fillId="0" borderId="36" xfId="58" applyNumberFormat="1" applyFont="1" applyBorder="1" applyAlignment="1">
      <alignment horizontal="center"/>
      <protection/>
    </xf>
    <xf numFmtId="216" fontId="4" fillId="29" borderId="0" xfId="58" applyNumberFormat="1" applyFont="1" applyFill="1" applyBorder="1" applyAlignment="1">
      <alignment horizontal="center"/>
      <protection/>
    </xf>
    <xf numFmtId="216" fontId="163" fillId="0" borderId="0" xfId="58" applyNumberFormat="1" applyFont="1">
      <alignment/>
      <protection/>
    </xf>
    <xf numFmtId="216" fontId="0" fillId="0" borderId="0" xfId="58" applyNumberFormat="1" applyBorder="1">
      <alignment/>
      <protection/>
    </xf>
    <xf numFmtId="216" fontId="4" fillId="0" borderId="0" xfId="58" applyNumberFormat="1" applyFont="1" applyBorder="1" applyAlignment="1">
      <alignment horizontal="center"/>
      <protection/>
    </xf>
    <xf numFmtId="3" fontId="163" fillId="29" borderId="0" xfId="58" applyNumberFormat="1" applyFont="1" applyFill="1" applyBorder="1">
      <alignment/>
      <protection/>
    </xf>
    <xf numFmtId="0" fontId="1" fillId="29" borderId="0" xfId="58" applyFont="1" applyFill="1" applyBorder="1" applyAlignment="1">
      <alignment horizontal="left"/>
      <protection/>
    </xf>
    <xf numFmtId="0" fontId="166" fillId="29" borderId="0" xfId="58" applyFont="1" applyFill="1" applyBorder="1" applyAlignment="1">
      <alignment horizontal="left"/>
      <protection/>
    </xf>
    <xf numFmtId="0" fontId="13" fillId="29" borderId="0" xfId="58" applyFont="1" applyFill="1" applyBorder="1" applyAlignment="1">
      <alignment horizontal="left"/>
      <protection/>
    </xf>
    <xf numFmtId="0" fontId="164" fillId="29" borderId="0" xfId="58" applyFont="1" applyFill="1" applyBorder="1" applyAlignment="1">
      <alignment horizontal="left"/>
      <protection/>
    </xf>
    <xf numFmtId="0" fontId="2" fillId="29" borderId="0" xfId="58" applyFont="1" applyFill="1" applyBorder="1">
      <alignment/>
      <protection/>
    </xf>
    <xf numFmtId="3" fontId="163" fillId="0" borderId="10" xfId="58" applyNumberFormat="1" applyFont="1" applyBorder="1">
      <alignment/>
      <protection/>
    </xf>
    <xf numFmtId="0" fontId="163" fillId="29" borderId="0" xfId="58" applyFont="1" applyFill="1" applyBorder="1">
      <alignment/>
      <protection/>
    </xf>
    <xf numFmtId="3" fontId="4" fillId="0" borderId="10" xfId="0" applyNumberFormat="1" applyFont="1" applyFill="1" applyBorder="1" applyAlignment="1">
      <alignment/>
    </xf>
    <xf numFmtId="216" fontId="0" fillId="0" borderId="10" xfId="0" applyNumberFormat="1" applyFont="1" applyFill="1" applyBorder="1" applyAlignment="1">
      <alignment/>
    </xf>
    <xf numFmtId="0" fontId="163" fillId="0" borderId="10" xfId="58" applyFont="1" applyFill="1" applyBorder="1">
      <alignment/>
      <protection/>
    </xf>
    <xf numFmtId="3" fontId="163" fillId="0" borderId="11" xfId="58" applyNumberFormat="1" applyFont="1" applyBorder="1">
      <alignment/>
      <protection/>
    </xf>
    <xf numFmtId="1" fontId="163" fillId="0" borderId="65" xfId="58" applyNumberFormat="1" applyFont="1" applyBorder="1">
      <alignment/>
      <protection/>
    </xf>
    <xf numFmtId="202" fontId="4" fillId="0" borderId="0" xfId="0" applyNumberFormat="1" applyFont="1" applyFill="1" applyBorder="1" applyAlignment="1">
      <alignment/>
    </xf>
    <xf numFmtId="202" fontId="0" fillId="0" borderId="0" xfId="0" applyNumberFormat="1" applyFill="1" applyBorder="1" applyAlignment="1">
      <alignment vertical="center"/>
    </xf>
    <xf numFmtId="202" fontId="7" fillId="0" borderId="0" xfId="0" applyNumberFormat="1" applyFont="1" applyFill="1" applyBorder="1" applyAlignment="1">
      <alignment/>
    </xf>
    <xf numFmtId="3" fontId="35" fillId="0" borderId="109" xfId="58" applyNumberFormat="1" applyFont="1" applyFill="1" applyBorder="1">
      <alignment/>
      <protection/>
    </xf>
    <xf numFmtId="0" fontId="0" fillId="0" borderId="0" xfId="59" applyFont="1">
      <alignment/>
      <protection/>
    </xf>
    <xf numFmtId="3" fontId="0" fillId="0" borderId="74" xfId="59" applyNumberFormat="1" applyFont="1" applyFill="1" applyBorder="1">
      <alignment/>
      <protection/>
    </xf>
    <xf numFmtId="3" fontId="0" fillId="0" borderId="75" xfId="59" applyNumberFormat="1" applyFont="1" applyFill="1" applyBorder="1" applyAlignment="1">
      <alignment horizontal="right"/>
      <protection/>
    </xf>
    <xf numFmtId="0" fontId="0" fillId="0" borderId="76" xfId="59" applyFont="1" applyFill="1" applyBorder="1">
      <alignment/>
      <protection/>
    </xf>
    <xf numFmtId="0" fontId="0" fillId="0" borderId="25" xfId="59" applyFont="1" applyFill="1" applyBorder="1">
      <alignment/>
      <protection/>
    </xf>
    <xf numFmtId="201" fontId="0" fillId="0" borderId="0" xfId="59" applyNumberFormat="1" applyFont="1">
      <alignment/>
      <protection/>
    </xf>
    <xf numFmtId="0" fontId="0" fillId="0" borderId="0" xfId="59" applyFont="1" applyFill="1" applyBorder="1">
      <alignment/>
      <protection/>
    </xf>
    <xf numFmtId="0" fontId="0" fillId="0" borderId="0" xfId="59" applyFont="1" applyFill="1" applyBorder="1" applyAlignment="1">
      <alignment horizontal="center"/>
      <protection/>
    </xf>
    <xf numFmtId="202" fontId="0" fillId="0" borderId="0" xfId="59" applyNumberFormat="1" applyFont="1" applyFill="1" applyBorder="1" applyAlignment="1">
      <alignment horizontal="center"/>
      <protection/>
    </xf>
    <xf numFmtId="0" fontId="0" fillId="0" borderId="110" xfId="59" applyFont="1" applyFill="1" applyBorder="1">
      <alignment/>
      <protection/>
    </xf>
    <xf numFmtId="0" fontId="0" fillId="0" borderId="111" xfId="59" applyFont="1" applyFill="1" applyBorder="1">
      <alignment/>
      <protection/>
    </xf>
    <xf numFmtId="0" fontId="0" fillId="0" borderId="112" xfId="59" applyFont="1" applyFill="1" applyBorder="1">
      <alignment/>
      <protection/>
    </xf>
    <xf numFmtId="0" fontId="0" fillId="0" borderId="0" xfId="59" applyFont="1" applyFill="1">
      <alignment/>
      <protection/>
    </xf>
    <xf numFmtId="0" fontId="4" fillId="0" borderId="0" xfId="59" applyFont="1">
      <alignment/>
      <protection/>
    </xf>
    <xf numFmtId="0" fontId="4" fillId="0" borderId="113" xfId="59" applyFont="1" applyFill="1" applyBorder="1">
      <alignment/>
      <protection/>
    </xf>
    <xf numFmtId="0" fontId="4" fillId="0" borderId="69" xfId="59" applyFont="1" applyFill="1" applyBorder="1">
      <alignment/>
      <protection/>
    </xf>
    <xf numFmtId="0" fontId="4" fillId="0" borderId="70" xfId="59" applyFont="1" applyFill="1" applyBorder="1">
      <alignment/>
      <protection/>
    </xf>
    <xf numFmtId="0" fontId="37" fillId="0" borderId="0" xfId="59" applyFont="1">
      <alignment/>
      <protection/>
    </xf>
    <xf numFmtId="3" fontId="158" fillId="31" borderId="96" xfId="58" applyNumberFormat="1" applyFont="1" applyFill="1" applyBorder="1">
      <alignment/>
      <protection/>
    </xf>
    <xf numFmtId="4" fontId="0" fillId="0" borderId="11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/>
    </xf>
    <xf numFmtId="202" fontId="0" fillId="0" borderId="50" xfId="0" applyNumberFormat="1" applyFill="1" applyBorder="1" applyAlignment="1">
      <alignment/>
    </xf>
    <xf numFmtId="202" fontId="0" fillId="0" borderId="13" xfId="0" applyNumberFormat="1" applyFill="1" applyBorder="1" applyAlignment="1">
      <alignment/>
    </xf>
    <xf numFmtId="202" fontId="0" fillId="0" borderId="49" xfId="0" applyNumberFormat="1" applyFill="1" applyBorder="1" applyAlignment="1">
      <alignment/>
    </xf>
    <xf numFmtId="201" fontId="0" fillId="0" borderId="13" xfId="0" applyNumberFormat="1" applyFill="1" applyBorder="1" applyAlignment="1">
      <alignment/>
    </xf>
    <xf numFmtId="0" fontId="0" fillId="0" borderId="0" xfId="0" applyAlignment="1" quotePrefix="1">
      <alignment horizontal="right"/>
    </xf>
    <xf numFmtId="0" fontId="0" fillId="0" borderId="40" xfId="0" applyFill="1" applyBorder="1" applyAlignment="1">
      <alignment horizontal="center" vertical="center"/>
    </xf>
    <xf numFmtId="202" fontId="0" fillId="0" borderId="27" xfId="0" applyNumberFormat="1" applyFill="1" applyBorder="1" applyAlignment="1">
      <alignment vertical="center"/>
    </xf>
    <xf numFmtId="9" fontId="16" fillId="0" borderId="114" xfId="66" applyFont="1" applyFill="1" applyBorder="1" applyAlignment="1">
      <alignment vertical="center"/>
    </xf>
    <xf numFmtId="9" fontId="16" fillId="0" borderId="25" xfId="66" applyFont="1" applyFill="1" applyBorder="1" applyAlignment="1">
      <alignment vertical="center"/>
    </xf>
    <xf numFmtId="9" fontId="16" fillId="0" borderId="115" xfId="66" applyFont="1" applyFill="1" applyBorder="1" applyAlignment="1">
      <alignment vertical="center"/>
    </xf>
    <xf numFmtId="202" fontId="7" fillId="0" borderId="25" xfId="0" applyNumberFormat="1" applyFont="1" applyFill="1" applyBorder="1" applyAlignment="1">
      <alignment/>
    </xf>
    <xf numFmtId="202" fontId="7" fillId="0" borderId="28" xfId="0" applyNumberFormat="1" applyFont="1" applyFill="1" applyBorder="1" applyAlignment="1">
      <alignment/>
    </xf>
    <xf numFmtId="0" fontId="31" fillId="29" borderId="30" xfId="58" applyFont="1" applyFill="1" applyBorder="1">
      <alignment/>
      <protection/>
    </xf>
    <xf numFmtId="0" fontId="31" fillId="29" borderId="30" xfId="58" applyFont="1" applyFill="1" applyBorder="1" applyAlignment="1">
      <alignment vertical="center" wrapText="1"/>
      <protection/>
    </xf>
    <xf numFmtId="0" fontId="0" fillId="29" borderId="10" xfId="58" applyFill="1" applyBorder="1">
      <alignment/>
      <protection/>
    </xf>
    <xf numFmtId="3" fontId="31" fillId="29" borderId="10" xfId="58" applyNumberFormat="1" applyFont="1" applyFill="1" applyBorder="1" applyAlignment="1" quotePrefix="1">
      <alignment horizontal="right"/>
      <protection/>
    </xf>
    <xf numFmtId="0" fontId="0" fillId="29" borderId="0" xfId="0" applyFill="1" applyAlignment="1">
      <alignment/>
    </xf>
    <xf numFmtId="0" fontId="167" fillId="29" borderId="0" xfId="0" applyFont="1" applyFill="1" applyAlignment="1">
      <alignment/>
    </xf>
    <xf numFmtId="0" fontId="9" fillId="0" borderId="0" xfId="58" applyFont="1">
      <alignment/>
      <protection/>
    </xf>
    <xf numFmtId="3" fontId="0" fillId="0" borderId="116" xfId="0" applyNumberFormat="1" applyFill="1" applyBorder="1" applyAlignment="1">
      <alignment horizontal="right" vertical="center" indent="1"/>
    </xf>
    <xf numFmtId="3" fontId="0" fillId="0" borderId="117" xfId="0" applyNumberFormat="1" applyFill="1" applyBorder="1" applyAlignment="1">
      <alignment horizontal="right" vertical="center" indent="1"/>
    </xf>
    <xf numFmtId="0" fontId="0" fillId="0" borderId="118" xfId="0" applyFill="1" applyBorder="1" applyAlignment="1">
      <alignment horizontal="right" vertical="center" indent="1"/>
    </xf>
    <xf numFmtId="0" fontId="0" fillId="0" borderId="119" xfId="0" applyFill="1" applyBorder="1" applyAlignment="1">
      <alignment horizontal="right" vertical="center" indent="1"/>
    </xf>
    <xf numFmtId="0" fontId="0" fillId="0" borderId="120" xfId="0" applyFill="1" applyBorder="1" applyAlignment="1">
      <alignment horizontal="right" vertical="center" indent="1"/>
    </xf>
    <xf numFmtId="0" fontId="0" fillId="0" borderId="116" xfId="0" applyFill="1" applyBorder="1" applyAlignment="1">
      <alignment horizontal="right" vertical="center" indent="1"/>
    </xf>
    <xf numFmtId="0" fontId="0" fillId="0" borderId="117" xfId="0" applyFill="1" applyBorder="1" applyAlignment="1">
      <alignment horizontal="right" vertical="center" indent="1"/>
    </xf>
    <xf numFmtId="0" fontId="0" fillId="0" borderId="121" xfId="0" applyFill="1" applyBorder="1" applyAlignment="1">
      <alignment horizontal="right" vertical="center" indent="1"/>
    </xf>
    <xf numFmtId="0" fontId="0" fillId="0" borderId="122" xfId="0" applyFill="1" applyBorder="1" applyAlignment="1">
      <alignment vertical="center"/>
    </xf>
    <xf numFmtId="0" fontId="0" fillId="0" borderId="123" xfId="0" applyFill="1" applyBorder="1" applyAlignment="1">
      <alignment horizontal="right" vertical="center" indent="1"/>
    </xf>
    <xf numFmtId="0" fontId="0" fillId="0" borderId="124" xfId="0" applyFill="1" applyBorder="1" applyAlignment="1">
      <alignment horizontal="right" vertical="center" indent="1"/>
    </xf>
    <xf numFmtId="0" fontId="0" fillId="0" borderId="125" xfId="0" applyFill="1" applyBorder="1" applyAlignment="1">
      <alignment horizontal="right" vertical="center" indent="1"/>
    </xf>
    <xf numFmtId="0" fontId="0" fillId="0" borderId="126" xfId="0" applyFill="1" applyBorder="1" applyAlignment="1">
      <alignment horizontal="right" vertical="center" indent="1"/>
    </xf>
    <xf numFmtId="0" fontId="0" fillId="0" borderId="127" xfId="0" applyFill="1" applyBorder="1" applyAlignment="1">
      <alignment horizontal="right" vertical="center" indent="1"/>
    </xf>
    <xf numFmtId="0" fontId="0" fillId="0" borderId="0" xfId="0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0" fillId="0" borderId="128" xfId="0" applyFill="1" applyBorder="1" applyAlignment="1">
      <alignment horizontal="right" vertical="center" indent="1"/>
    </xf>
    <xf numFmtId="3" fontId="0" fillId="0" borderId="121" xfId="0" applyNumberFormat="1" applyFill="1" applyBorder="1" applyAlignment="1">
      <alignment horizontal="right" vertical="center" indent="1"/>
    </xf>
    <xf numFmtId="198" fontId="6" fillId="0" borderId="18" xfId="66" applyNumberFormat="1" applyFont="1" applyFill="1" applyBorder="1" applyAlignment="1">
      <alignment horizontal="center" vertical="center"/>
    </xf>
    <xf numFmtId="198" fontId="6" fillId="0" borderId="15" xfId="66" applyNumberFormat="1" applyFont="1" applyFill="1" applyBorder="1" applyAlignment="1">
      <alignment horizontal="center" vertical="center"/>
    </xf>
    <xf numFmtId="198" fontId="6" fillId="0" borderId="17" xfId="66" applyNumberFormat="1" applyFont="1" applyFill="1" applyBorder="1" applyAlignment="1">
      <alignment horizontal="center" vertical="center"/>
    </xf>
    <xf numFmtId="3" fontId="0" fillId="0" borderId="118" xfId="0" applyNumberFormat="1" applyFill="1" applyBorder="1" applyAlignment="1">
      <alignment horizontal="right" vertical="center" indent="1"/>
    </xf>
    <xf numFmtId="3" fontId="0" fillId="0" borderId="119" xfId="0" applyNumberFormat="1" applyFill="1" applyBorder="1" applyAlignment="1">
      <alignment horizontal="right" vertical="center" indent="1"/>
    </xf>
    <xf numFmtId="9" fontId="0" fillId="0" borderId="122" xfId="66" applyFont="1" applyFill="1" applyBorder="1" applyAlignment="1">
      <alignment horizontal="right" vertical="center"/>
    </xf>
    <xf numFmtId="9" fontId="0" fillId="0" borderId="123" xfId="66" applyFont="1" applyFill="1" applyBorder="1" applyAlignment="1">
      <alignment horizontal="right" vertical="center" indent="1"/>
    </xf>
    <xf numFmtId="9" fontId="0" fillId="0" borderId="124" xfId="66" applyFont="1" applyFill="1" applyBorder="1" applyAlignment="1">
      <alignment horizontal="right" vertical="center" indent="1"/>
    </xf>
    <xf numFmtId="9" fontId="0" fillId="0" borderId="123" xfId="66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center" vertical="center"/>
    </xf>
    <xf numFmtId="0" fontId="10" fillId="0" borderId="0" xfId="58" applyFont="1">
      <alignment/>
      <protection/>
    </xf>
    <xf numFmtId="0" fontId="1" fillId="0" borderId="0" xfId="58" applyFont="1" applyAlignment="1">
      <alignment horizontal="centerContinuous"/>
      <protection/>
    </xf>
    <xf numFmtId="0" fontId="0" fillId="0" borderId="0" xfId="58" applyAlignment="1">
      <alignment horizontal="centerContinuous"/>
      <protection/>
    </xf>
    <xf numFmtId="0" fontId="168" fillId="0" borderId="0" xfId="58" applyFont="1" applyBorder="1">
      <alignment/>
      <protection/>
    </xf>
    <xf numFmtId="0" fontId="0" fillId="0" borderId="0" xfId="58" applyFill="1">
      <alignment/>
      <protection/>
    </xf>
    <xf numFmtId="0" fontId="0" fillId="32" borderId="34" xfId="58" applyFill="1" applyBorder="1" applyAlignment="1">
      <alignment horizontal="center"/>
      <protection/>
    </xf>
    <xf numFmtId="202" fontId="0" fillId="32" borderId="129" xfId="58" applyNumberFormat="1" applyFill="1" applyBorder="1" applyAlignment="1">
      <alignment horizontal="center"/>
      <protection/>
    </xf>
    <xf numFmtId="202" fontId="0" fillId="32" borderId="130" xfId="58" applyNumberFormat="1" applyFill="1" applyBorder="1" applyAlignment="1">
      <alignment horizontal="center"/>
      <protection/>
    </xf>
    <xf numFmtId="202" fontId="0" fillId="32" borderId="36" xfId="58" applyNumberFormat="1" applyFill="1" applyBorder="1">
      <alignment/>
      <protection/>
    </xf>
    <xf numFmtId="202" fontId="0" fillId="32" borderId="35" xfId="58" applyNumberFormat="1" applyFill="1" applyBorder="1">
      <alignment/>
      <protection/>
    </xf>
    <xf numFmtId="202" fontId="0" fillId="32" borderId="38" xfId="58" applyNumberFormat="1" applyFill="1" applyBorder="1">
      <alignment/>
      <protection/>
    </xf>
    <xf numFmtId="202" fontId="0" fillId="32" borderId="91" xfId="58" applyNumberFormat="1" applyFill="1" applyBorder="1">
      <alignment/>
      <protection/>
    </xf>
    <xf numFmtId="202" fontId="0" fillId="32" borderId="37" xfId="58" applyNumberFormat="1" applyFill="1" applyBorder="1">
      <alignment/>
      <protection/>
    </xf>
    <xf numFmtId="202" fontId="0" fillId="32" borderId="59" xfId="58" applyNumberFormat="1" applyFill="1" applyBorder="1">
      <alignment/>
      <protection/>
    </xf>
    <xf numFmtId="201" fontId="0" fillId="27" borderId="24" xfId="58" applyNumberFormat="1" applyFont="1" applyFill="1" applyBorder="1">
      <alignment/>
      <protection/>
    </xf>
    <xf numFmtId="0" fontId="0" fillId="33" borderId="22" xfId="58" applyFill="1" applyBorder="1" applyAlignment="1">
      <alignment horizontal="center"/>
      <protection/>
    </xf>
    <xf numFmtId="202" fontId="0" fillId="33" borderId="131" xfId="58" applyNumberFormat="1" applyFill="1" applyBorder="1" applyAlignment="1">
      <alignment horizontal="center"/>
      <protection/>
    </xf>
    <xf numFmtId="202" fontId="0" fillId="33" borderId="132" xfId="58" applyNumberFormat="1" applyFill="1" applyBorder="1" applyAlignment="1">
      <alignment horizontal="center"/>
      <protection/>
    </xf>
    <xf numFmtId="202" fontId="0" fillId="33" borderId="0" xfId="58" applyNumberFormat="1" applyFill="1" applyBorder="1">
      <alignment/>
      <protection/>
    </xf>
    <xf numFmtId="202" fontId="0" fillId="33" borderId="12" xfId="58" applyNumberFormat="1" applyFill="1" applyBorder="1">
      <alignment/>
      <protection/>
    </xf>
    <xf numFmtId="202" fontId="0" fillId="33" borderId="25" xfId="58" applyNumberFormat="1" applyFill="1" applyBorder="1">
      <alignment/>
      <protection/>
    </xf>
    <xf numFmtId="202" fontId="0" fillId="33" borderId="20" xfId="58" applyNumberFormat="1" applyFill="1" applyBorder="1">
      <alignment/>
      <protection/>
    </xf>
    <xf numFmtId="202" fontId="0" fillId="33" borderId="11" xfId="58" applyNumberFormat="1" applyFill="1" applyBorder="1">
      <alignment/>
      <protection/>
    </xf>
    <xf numFmtId="202" fontId="0" fillId="33" borderId="45" xfId="58" applyNumberFormat="1" applyFill="1" applyBorder="1">
      <alignment/>
      <protection/>
    </xf>
    <xf numFmtId="201" fontId="0" fillId="7" borderId="24" xfId="58" applyNumberFormat="1" applyFont="1" applyFill="1" applyBorder="1">
      <alignment/>
      <protection/>
    </xf>
    <xf numFmtId="0" fontId="0" fillId="32" borderId="22" xfId="58" applyFill="1" applyBorder="1" applyAlignment="1">
      <alignment horizontal="center"/>
      <protection/>
    </xf>
    <xf numFmtId="202" fontId="0" fillId="32" borderId="131" xfId="58" applyNumberFormat="1" applyFill="1" applyBorder="1" applyAlignment="1">
      <alignment horizontal="center"/>
      <protection/>
    </xf>
    <xf numFmtId="202" fontId="0" fillId="32" borderId="132" xfId="58" applyNumberFormat="1" applyFill="1" applyBorder="1" applyAlignment="1">
      <alignment horizontal="center"/>
      <protection/>
    </xf>
    <xf numFmtId="202" fontId="0" fillId="32" borderId="0" xfId="58" applyNumberFormat="1" applyFill="1" applyBorder="1">
      <alignment/>
      <protection/>
    </xf>
    <xf numFmtId="202" fontId="0" fillId="32" borderId="12" xfId="58" applyNumberFormat="1" applyFill="1" applyBorder="1">
      <alignment/>
      <protection/>
    </xf>
    <xf numFmtId="202" fontId="0" fillId="32" borderId="25" xfId="58" applyNumberFormat="1" applyFill="1" applyBorder="1">
      <alignment/>
      <protection/>
    </xf>
    <xf numFmtId="202" fontId="0" fillId="32" borderId="20" xfId="58" applyNumberFormat="1" applyFill="1" applyBorder="1">
      <alignment/>
      <protection/>
    </xf>
    <xf numFmtId="202" fontId="0" fillId="32" borderId="11" xfId="58" applyNumberFormat="1" applyFill="1" applyBorder="1">
      <alignment/>
      <protection/>
    </xf>
    <xf numFmtId="202" fontId="0" fillId="32" borderId="45" xfId="58" applyNumberFormat="1" applyFill="1" applyBorder="1">
      <alignment/>
      <protection/>
    </xf>
    <xf numFmtId="201" fontId="0" fillId="32" borderId="12" xfId="58" applyNumberFormat="1" applyFill="1" applyBorder="1">
      <alignment/>
      <protection/>
    </xf>
    <xf numFmtId="0" fontId="0" fillId="33" borderId="22" xfId="58" applyFont="1" applyFill="1" applyBorder="1" applyAlignment="1">
      <alignment horizontal="center"/>
      <protection/>
    </xf>
    <xf numFmtId="201" fontId="0" fillId="33" borderId="12" xfId="58" applyNumberFormat="1" applyFill="1" applyBorder="1">
      <alignment/>
      <protection/>
    </xf>
    <xf numFmtId="0" fontId="0" fillId="7" borderId="22" xfId="58" applyFill="1" applyBorder="1" applyAlignment="1">
      <alignment horizontal="center"/>
      <protection/>
    </xf>
    <xf numFmtId="202" fontId="0" fillId="7" borderId="0" xfId="58" applyNumberFormat="1" applyFill="1" applyBorder="1">
      <alignment/>
      <protection/>
    </xf>
    <xf numFmtId="202" fontId="0" fillId="7" borderId="12" xfId="58" applyNumberFormat="1" applyFill="1" applyBorder="1">
      <alignment/>
      <protection/>
    </xf>
    <xf numFmtId="201" fontId="0" fillId="7" borderId="12" xfId="58" applyNumberFormat="1" applyFill="1" applyBorder="1">
      <alignment/>
      <protection/>
    </xf>
    <xf numFmtId="202" fontId="0" fillId="7" borderId="45" xfId="58" applyNumberFormat="1" applyFill="1" applyBorder="1">
      <alignment/>
      <protection/>
    </xf>
    <xf numFmtId="0" fontId="4" fillId="0" borderId="0" xfId="58" applyFont="1">
      <alignment/>
      <protection/>
    </xf>
    <xf numFmtId="0" fontId="169" fillId="0" borderId="0" xfId="58" applyFont="1" applyBorder="1">
      <alignment/>
      <protection/>
    </xf>
    <xf numFmtId="0" fontId="0" fillId="32" borderId="22" xfId="58" applyFont="1" applyFill="1" applyBorder="1" applyAlignment="1">
      <alignment horizontal="center"/>
      <protection/>
    </xf>
    <xf numFmtId="0" fontId="0" fillId="27" borderId="58" xfId="58" applyFill="1" applyBorder="1" applyAlignment="1">
      <alignment horizontal="center"/>
      <protection/>
    </xf>
    <xf numFmtId="202" fontId="0" fillId="32" borderId="133" xfId="58" applyNumberFormat="1" applyFill="1" applyBorder="1" applyAlignment="1">
      <alignment horizontal="center"/>
      <protection/>
    </xf>
    <xf numFmtId="202" fontId="0" fillId="32" borderId="134" xfId="58" applyNumberFormat="1" applyFill="1" applyBorder="1" applyAlignment="1">
      <alignment horizontal="center"/>
      <protection/>
    </xf>
    <xf numFmtId="202" fontId="0" fillId="32" borderId="39" xfId="58" applyNumberFormat="1" applyFill="1" applyBorder="1">
      <alignment/>
      <protection/>
    </xf>
    <xf numFmtId="202" fontId="0" fillId="32" borderId="13" xfId="58" applyNumberFormat="1" applyFill="1" applyBorder="1">
      <alignment/>
      <protection/>
    </xf>
    <xf numFmtId="202" fontId="0" fillId="32" borderId="21" xfId="58" applyNumberFormat="1" applyFill="1" applyBorder="1">
      <alignment/>
      <protection/>
    </xf>
    <xf numFmtId="202" fontId="0" fillId="27" borderId="39" xfId="58" applyNumberFormat="1" applyFill="1" applyBorder="1">
      <alignment/>
      <protection/>
    </xf>
    <xf numFmtId="202" fontId="0" fillId="27" borderId="13" xfId="58" applyNumberFormat="1" applyFill="1" applyBorder="1">
      <alignment/>
      <protection/>
    </xf>
    <xf numFmtId="201" fontId="0" fillId="27" borderId="13" xfId="58" applyNumberFormat="1" applyFill="1" applyBorder="1">
      <alignment/>
      <protection/>
    </xf>
    <xf numFmtId="202" fontId="0" fillId="27" borderId="50" xfId="58" applyNumberFormat="1" applyFill="1" applyBorder="1">
      <alignment/>
      <protection/>
    </xf>
    <xf numFmtId="201" fontId="0" fillId="27" borderId="49" xfId="58" applyNumberFormat="1" applyFont="1" applyFill="1" applyBorder="1">
      <alignment/>
      <protection/>
    </xf>
    <xf numFmtId="0" fontId="16" fillId="7" borderId="22" xfId="58" applyFont="1" applyFill="1" applyBorder="1">
      <alignment/>
      <protection/>
    </xf>
    <xf numFmtId="9" fontId="6" fillId="7" borderId="135" xfId="68" applyFont="1" applyFill="1" applyBorder="1" applyAlignment="1">
      <alignment horizontal="center"/>
    </xf>
    <xf numFmtId="9" fontId="7" fillId="7" borderId="0" xfId="68" applyNumberFormat="1" applyFont="1" applyFill="1" applyBorder="1" applyAlignment="1">
      <alignment horizontal="center"/>
    </xf>
    <xf numFmtId="9" fontId="7" fillId="7" borderId="12" xfId="68" applyFont="1" applyFill="1" applyBorder="1" applyAlignment="1">
      <alignment horizontal="center"/>
    </xf>
    <xf numFmtId="9" fontId="6" fillId="7" borderId="20" xfId="68" applyNumberFormat="1" applyFont="1" applyFill="1" applyBorder="1" applyAlignment="1">
      <alignment horizontal="center"/>
    </xf>
    <xf numFmtId="198" fontId="7" fillId="7" borderId="0" xfId="68" applyNumberFormat="1" applyFont="1" applyFill="1" applyBorder="1" applyAlignment="1">
      <alignment horizontal="center"/>
    </xf>
    <xf numFmtId="9" fontId="0" fillId="7" borderId="136" xfId="68" applyFont="1" applyFill="1" applyBorder="1" applyAlignment="1">
      <alignment horizontal="center"/>
    </xf>
    <xf numFmtId="9" fontId="7" fillId="7" borderId="45" xfId="68" applyNumberFormat="1" applyFont="1" applyFill="1" applyBorder="1" applyAlignment="1">
      <alignment horizontal="center"/>
    </xf>
    <xf numFmtId="9" fontId="7" fillId="7" borderId="24" xfId="68" applyFont="1" applyFill="1" applyBorder="1" applyAlignment="1">
      <alignment horizontal="center"/>
    </xf>
    <xf numFmtId="0" fontId="16" fillId="27" borderId="69" xfId="58" applyFont="1" applyFill="1" applyBorder="1">
      <alignment/>
      <protection/>
    </xf>
    <xf numFmtId="9" fontId="16" fillId="27" borderId="137" xfId="68" applyFont="1" applyFill="1" applyBorder="1" applyAlignment="1">
      <alignment horizontal="center"/>
    </xf>
    <xf numFmtId="9" fontId="6" fillId="27" borderId="138" xfId="68" applyFont="1" applyFill="1" applyBorder="1" applyAlignment="1">
      <alignment horizontal="center"/>
    </xf>
    <xf numFmtId="9" fontId="7" fillId="27" borderId="77" xfId="68" applyFont="1" applyFill="1" applyBorder="1" applyAlignment="1">
      <alignment horizontal="center"/>
    </xf>
    <xf numFmtId="9" fontId="7" fillId="27" borderId="136" xfId="68" applyFont="1" applyFill="1" applyBorder="1" applyAlignment="1">
      <alignment horizontal="center"/>
    </xf>
    <xf numFmtId="9" fontId="6" fillId="27" borderId="61" xfId="68" applyFont="1" applyFill="1" applyBorder="1" applyAlignment="1">
      <alignment horizontal="center"/>
    </xf>
    <xf numFmtId="9" fontId="0" fillId="27" borderId="136" xfId="68" applyFont="1" applyFill="1" applyBorder="1" applyAlignment="1">
      <alignment horizontal="center"/>
    </xf>
    <xf numFmtId="9" fontId="7" fillId="27" borderId="139" xfId="68" applyFont="1" applyFill="1" applyBorder="1" applyAlignment="1">
      <alignment horizontal="center"/>
    </xf>
    <xf numFmtId="9" fontId="7" fillId="27" borderId="140" xfId="68" applyFont="1" applyFill="1" applyBorder="1" applyAlignment="1">
      <alignment horizontal="center"/>
    </xf>
    <xf numFmtId="9" fontId="16" fillId="7" borderId="131" xfId="68" applyFont="1" applyFill="1" applyBorder="1" applyAlignment="1">
      <alignment horizontal="center"/>
    </xf>
    <xf numFmtId="9" fontId="6" fillId="7" borderId="138" xfId="68" applyFont="1" applyFill="1" applyBorder="1" applyAlignment="1">
      <alignment horizontal="center"/>
    </xf>
    <xf numFmtId="9" fontId="7" fillId="7" borderId="77" xfId="68" applyFont="1" applyFill="1" applyBorder="1" applyAlignment="1">
      <alignment horizontal="center"/>
    </xf>
    <xf numFmtId="9" fontId="7" fillId="7" borderId="136" xfId="68" applyFont="1" applyFill="1" applyBorder="1" applyAlignment="1">
      <alignment horizontal="center"/>
    </xf>
    <xf numFmtId="198" fontId="6" fillId="7" borderId="61" xfId="68" applyNumberFormat="1" applyFont="1" applyFill="1" applyBorder="1" applyAlignment="1">
      <alignment horizontal="center"/>
    </xf>
    <xf numFmtId="9" fontId="6" fillId="7" borderId="61" xfId="68" applyFont="1" applyFill="1" applyBorder="1" applyAlignment="1">
      <alignment horizontal="center"/>
    </xf>
    <xf numFmtId="9" fontId="7" fillId="7" borderId="139" xfId="68" applyFont="1" applyFill="1" applyBorder="1" applyAlignment="1">
      <alignment horizontal="center"/>
    </xf>
    <xf numFmtId="9" fontId="7" fillId="7" borderId="140" xfId="68" applyFont="1" applyFill="1" applyBorder="1" applyAlignment="1">
      <alignment horizontal="center"/>
    </xf>
    <xf numFmtId="0" fontId="16" fillId="27" borderId="70" xfId="58" applyFont="1" applyFill="1" applyBorder="1">
      <alignment/>
      <protection/>
    </xf>
    <xf numFmtId="9" fontId="16" fillId="27" borderId="141" xfId="68" applyFont="1" applyFill="1" applyBorder="1" applyAlignment="1">
      <alignment horizontal="center"/>
    </xf>
    <xf numFmtId="9" fontId="6" fillId="27" borderId="134" xfId="68" applyFont="1" applyFill="1" applyBorder="1" applyAlignment="1">
      <alignment horizontal="center"/>
    </xf>
    <xf numFmtId="9" fontId="7" fillId="27" borderId="39" xfId="68" applyFont="1" applyFill="1" applyBorder="1" applyAlignment="1">
      <alignment horizontal="center"/>
    </xf>
    <xf numFmtId="9" fontId="7" fillId="27" borderId="13" xfId="68" applyFont="1" applyFill="1" applyBorder="1" applyAlignment="1">
      <alignment horizontal="center"/>
    </xf>
    <xf numFmtId="9" fontId="6" fillId="27" borderId="21" xfId="68" applyFont="1" applyFill="1" applyBorder="1" applyAlignment="1">
      <alignment horizontal="center"/>
    </xf>
    <xf numFmtId="9" fontId="0" fillId="27" borderId="13" xfId="68" applyFont="1" applyFill="1" applyBorder="1" applyAlignment="1">
      <alignment horizontal="center"/>
    </xf>
    <xf numFmtId="9" fontId="7" fillId="27" borderId="50" xfId="68" applyFont="1" applyFill="1" applyBorder="1" applyAlignment="1">
      <alignment horizontal="center"/>
    </xf>
    <xf numFmtId="9" fontId="7" fillId="27" borderId="49" xfId="68" applyFont="1" applyFill="1" applyBorder="1" applyAlignment="1">
      <alignment horizontal="center"/>
    </xf>
    <xf numFmtId="0" fontId="8" fillId="0" borderId="0" xfId="58" applyFont="1" quotePrefix="1">
      <alignment/>
      <protection/>
    </xf>
    <xf numFmtId="0" fontId="8" fillId="0" borderId="0" xfId="58" applyFont="1">
      <alignment/>
      <protection/>
    </xf>
    <xf numFmtId="0" fontId="44" fillId="0" borderId="0" xfId="58" applyFont="1">
      <alignment/>
      <protection/>
    </xf>
    <xf numFmtId="0" fontId="26" fillId="0" borderId="0" xfId="58" applyFont="1">
      <alignment/>
      <protection/>
    </xf>
    <xf numFmtId="198" fontId="16" fillId="7" borderId="142" xfId="68" applyNumberFormat="1" applyFont="1" applyFill="1" applyBorder="1" applyAlignment="1">
      <alignment horizontal="center"/>
    </xf>
    <xf numFmtId="0" fontId="170" fillId="0" borderId="0" xfId="58" applyFont="1">
      <alignment/>
      <protection/>
    </xf>
    <xf numFmtId="0" fontId="170" fillId="0" borderId="0" xfId="58" applyFont="1" applyBorder="1">
      <alignment/>
      <protection/>
    </xf>
    <xf numFmtId="0" fontId="171" fillId="29" borderId="0" xfId="58" applyFont="1" applyFill="1" applyBorder="1">
      <alignment/>
      <protection/>
    </xf>
    <xf numFmtId="0" fontId="170" fillId="27" borderId="0" xfId="58" applyFont="1" applyFill="1" applyBorder="1" applyAlignment="1">
      <alignment vertical="center"/>
      <protection/>
    </xf>
    <xf numFmtId="0" fontId="170" fillId="0" borderId="0" xfId="58" applyFont="1" applyBorder="1" applyAlignment="1">
      <alignment horizontal="center"/>
      <protection/>
    </xf>
    <xf numFmtId="201" fontId="170" fillId="0" borderId="0" xfId="58" applyNumberFormat="1" applyFont="1">
      <alignment/>
      <protection/>
    </xf>
    <xf numFmtId="202" fontId="170" fillId="0" borderId="0" xfId="58" applyNumberFormat="1" applyFont="1" applyBorder="1">
      <alignment/>
      <protection/>
    </xf>
    <xf numFmtId="200" fontId="170" fillId="0" borderId="0" xfId="58" applyNumberFormat="1" applyFont="1" applyBorder="1">
      <alignment/>
      <protection/>
    </xf>
    <xf numFmtId="201" fontId="170" fillId="27" borderId="0" xfId="58" applyNumberFormat="1" applyFont="1" applyFill="1">
      <alignment/>
      <protection/>
    </xf>
    <xf numFmtId="0" fontId="170" fillId="29" borderId="0" xfId="58" applyFont="1" applyFill="1">
      <alignment/>
      <protection/>
    </xf>
    <xf numFmtId="0" fontId="170" fillId="0" borderId="0" xfId="58" applyFont="1" applyBorder="1" applyAlignment="1">
      <alignment horizontal="right"/>
      <protection/>
    </xf>
    <xf numFmtId="0" fontId="171" fillId="0" borderId="0" xfId="58" applyFont="1">
      <alignment/>
      <protection/>
    </xf>
    <xf numFmtId="200" fontId="171" fillId="0" borderId="0" xfId="58" applyNumberFormat="1" applyFont="1" applyBorder="1">
      <alignment/>
      <protection/>
    </xf>
    <xf numFmtId="0" fontId="171" fillId="0" borderId="0" xfId="58" applyFont="1" applyBorder="1">
      <alignment/>
      <protection/>
    </xf>
    <xf numFmtId="0" fontId="170" fillId="0" borderId="0" xfId="58" applyFont="1" applyBorder="1" applyAlignment="1">
      <alignment/>
      <protection/>
    </xf>
    <xf numFmtId="0" fontId="171" fillId="0" borderId="0" xfId="58" applyFont="1" applyBorder="1" applyAlignment="1">
      <alignment/>
      <protection/>
    </xf>
    <xf numFmtId="0" fontId="170" fillId="27" borderId="0" xfId="58" applyFont="1" applyFill="1" applyBorder="1">
      <alignment/>
      <protection/>
    </xf>
    <xf numFmtId="202" fontId="171" fillId="0" borderId="0" xfId="58" applyNumberFormat="1" applyFont="1" applyBorder="1">
      <alignment/>
      <protection/>
    </xf>
    <xf numFmtId="3" fontId="170" fillId="0" borderId="0" xfId="58" applyNumberFormat="1" applyFont="1" applyBorder="1">
      <alignment/>
      <protection/>
    </xf>
    <xf numFmtId="0" fontId="170" fillId="0" borderId="0" xfId="58" applyFont="1" applyBorder="1" applyAlignment="1" quotePrefix="1">
      <alignment horizontal="right"/>
      <protection/>
    </xf>
    <xf numFmtId="3" fontId="31" fillId="29" borderId="30" xfId="58" applyNumberFormat="1" applyFont="1" applyFill="1" applyBorder="1" applyAlignment="1" quotePrefix="1">
      <alignment horizontal="right"/>
      <protection/>
    </xf>
    <xf numFmtId="0" fontId="10" fillId="0" borderId="0" xfId="58" applyFont="1" applyAlignment="1">
      <alignment horizontal="left"/>
      <protection/>
    </xf>
    <xf numFmtId="0" fontId="0" fillId="0" borderId="0" xfId="0" applyBorder="1" applyAlignment="1">
      <alignment horizontal="centerContinuous"/>
    </xf>
    <xf numFmtId="3" fontId="0" fillId="27" borderId="23" xfId="0" applyNumberFormat="1" applyFill="1" applyBorder="1" applyAlignment="1">
      <alignment horizontal="center"/>
    </xf>
    <xf numFmtId="202" fontId="4" fillId="27" borderId="45" xfId="0" applyNumberFormat="1" applyFont="1" applyFill="1" applyBorder="1" applyAlignment="1">
      <alignment/>
    </xf>
    <xf numFmtId="202" fontId="0" fillId="27" borderId="45" xfId="0" applyNumberFormat="1" applyFill="1" applyBorder="1" applyAlignment="1">
      <alignment/>
    </xf>
    <xf numFmtId="202" fontId="0" fillId="27" borderId="11" xfId="0" applyNumberFormat="1" applyFill="1" applyBorder="1" applyAlignment="1">
      <alignment/>
    </xf>
    <xf numFmtId="201" fontId="0" fillId="27" borderId="12" xfId="0" applyNumberFormat="1" applyFill="1" applyBorder="1" applyAlignment="1" quotePrefix="1">
      <alignment horizontal="center"/>
    </xf>
    <xf numFmtId="202" fontId="0" fillId="27" borderId="0" xfId="0" applyNumberFormat="1" applyFill="1" applyBorder="1" applyAlignment="1">
      <alignment/>
    </xf>
    <xf numFmtId="201" fontId="0" fillId="27" borderId="11" xfId="0" applyNumberFormat="1" applyFill="1" applyBorder="1" applyAlignment="1">
      <alignment/>
    </xf>
    <xf numFmtId="202" fontId="0" fillId="27" borderId="24" xfId="0" applyNumberFormat="1" applyFont="1" applyFill="1" applyBorder="1" applyAlignment="1">
      <alignment/>
    </xf>
    <xf numFmtId="211" fontId="0" fillId="7" borderId="23" xfId="0" applyNumberFormat="1" applyFill="1" applyBorder="1" applyAlignment="1">
      <alignment horizontal="center"/>
    </xf>
    <xf numFmtId="202" fontId="4" fillId="7" borderId="45" xfId="0" applyNumberFormat="1" applyFont="1" applyFill="1" applyBorder="1" applyAlignment="1">
      <alignment/>
    </xf>
    <xf numFmtId="202" fontId="0" fillId="7" borderId="45" xfId="0" applyNumberFormat="1" applyFill="1" applyBorder="1" applyAlignment="1">
      <alignment/>
    </xf>
    <xf numFmtId="202" fontId="0" fillId="7" borderId="11" xfId="0" applyNumberFormat="1" applyFill="1" applyBorder="1" applyAlignment="1">
      <alignment/>
    </xf>
    <xf numFmtId="201" fontId="0" fillId="7" borderId="12" xfId="0" applyNumberFormat="1" applyFill="1" applyBorder="1" applyAlignment="1" quotePrefix="1">
      <alignment horizontal="center"/>
    </xf>
    <xf numFmtId="201" fontId="0" fillId="7" borderId="11" xfId="0" applyNumberFormat="1" applyFill="1" applyBorder="1" applyAlignment="1">
      <alignment/>
    </xf>
    <xf numFmtId="202" fontId="0" fillId="7" borderId="24" xfId="0" applyNumberFormat="1" applyFont="1" applyFill="1" applyBorder="1" applyAlignment="1">
      <alignment/>
    </xf>
    <xf numFmtId="211" fontId="0" fillId="27" borderId="23" xfId="0" applyNumberFormat="1" applyFill="1" applyBorder="1" applyAlignment="1">
      <alignment horizontal="center"/>
    </xf>
    <xf numFmtId="202" fontId="0" fillId="27" borderId="12" xfId="0" applyNumberFormat="1" applyFill="1" applyBorder="1" applyAlignment="1">
      <alignment/>
    </xf>
    <xf numFmtId="201" fontId="0" fillId="27" borderId="12" xfId="0" applyNumberFormat="1" applyFill="1" applyBorder="1" applyAlignment="1">
      <alignment horizontal="right"/>
    </xf>
    <xf numFmtId="201" fontId="0" fillId="27" borderId="12" xfId="0" applyNumberFormat="1" applyFill="1" applyBorder="1" applyAlignment="1">
      <alignment/>
    </xf>
    <xf numFmtId="202" fontId="0" fillId="7" borderId="12" xfId="0" applyNumberFormat="1" applyFill="1" applyBorder="1" applyAlignment="1">
      <alignment/>
    </xf>
    <xf numFmtId="201" fontId="0" fillId="7" borderId="12" xfId="0" applyNumberFormat="1" applyFill="1" applyBorder="1" applyAlignment="1">
      <alignment horizontal="right"/>
    </xf>
    <xf numFmtId="201" fontId="0" fillId="7" borderId="12" xfId="0" applyNumberFormat="1" applyFill="1" applyBorder="1" applyAlignment="1">
      <alignment/>
    </xf>
    <xf numFmtId="211" fontId="0" fillId="0" borderId="23" xfId="0" applyNumberFormat="1" applyFill="1" applyBorder="1" applyAlignment="1">
      <alignment horizontal="center"/>
    </xf>
    <xf numFmtId="202" fontId="4" fillId="0" borderId="45" xfId="0" applyNumberFormat="1" applyFont="1" applyFill="1" applyBorder="1" applyAlignment="1">
      <alignment/>
    </xf>
    <xf numFmtId="202" fontId="0" fillId="0" borderId="45" xfId="0" applyNumberFormat="1" applyFill="1" applyBorder="1" applyAlignment="1">
      <alignment/>
    </xf>
    <xf numFmtId="211" fontId="0" fillId="28" borderId="23" xfId="0" applyNumberFormat="1" applyFill="1" applyBorder="1" applyAlignment="1">
      <alignment horizontal="center"/>
    </xf>
    <xf numFmtId="202" fontId="4" fillId="28" borderId="45" xfId="0" applyNumberFormat="1" applyFont="1" applyFill="1" applyBorder="1" applyAlignment="1">
      <alignment/>
    </xf>
    <xf numFmtId="202" fontId="0" fillId="28" borderId="45" xfId="0" applyNumberFormat="1" applyFill="1" applyBorder="1" applyAlignment="1">
      <alignment/>
    </xf>
    <xf numFmtId="202" fontId="0" fillId="28" borderId="11" xfId="0" applyNumberFormat="1" applyFill="1" applyBorder="1" applyAlignment="1">
      <alignment/>
    </xf>
    <xf numFmtId="201" fontId="0" fillId="28" borderId="12" xfId="0" applyNumberFormat="1" applyFill="1" applyBorder="1" applyAlignment="1">
      <alignment/>
    </xf>
    <xf numFmtId="202" fontId="0" fillId="28" borderId="12" xfId="0" applyNumberFormat="1" applyFill="1" applyBorder="1" applyAlignment="1">
      <alignment/>
    </xf>
    <xf numFmtId="202" fontId="0" fillId="28" borderId="24" xfId="0" applyNumberFormat="1" applyFont="1" applyFill="1" applyBorder="1" applyAlignment="1">
      <alignment/>
    </xf>
    <xf numFmtId="211" fontId="4" fillId="27" borderId="23" xfId="0" applyNumberFormat="1" applyFont="1" applyFill="1" applyBorder="1" applyAlignment="1">
      <alignment horizontal="center"/>
    </xf>
    <xf numFmtId="202" fontId="0" fillId="0" borderId="24" xfId="0" applyNumberFormat="1" applyFont="1" applyFill="1" applyBorder="1" applyAlignment="1">
      <alignment/>
    </xf>
    <xf numFmtId="9" fontId="6" fillId="7" borderId="56" xfId="72" applyNumberFormat="1" applyFont="1" applyFill="1" applyBorder="1" applyAlignment="1">
      <alignment horizontal="center"/>
    </xf>
    <xf numFmtId="198" fontId="6" fillId="7" borderId="143" xfId="72" applyNumberFormat="1" applyFont="1" applyFill="1" applyBorder="1" applyAlignment="1">
      <alignment horizontal="center"/>
    </xf>
    <xf numFmtId="9" fontId="6" fillId="7" borderId="144" xfId="72" applyNumberFormat="1" applyFont="1" applyFill="1" applyBorder="1" applyAlignment="1">
      <alignment horizontal="center"/>
    </xf>
    <xf numFmtId="9" fontId="6" fillId="0" borderId="0" xfId="72" applyNumberFormat="1" applyFont="1" applyFill="1" applyBorder="1" applyAlignment="1">
      <alignment horizontal="center"/>
    </xf>
    <xf numFmtId="9" fontId="0" fillId="0" borderId="27" xfId="0" applyNumberFormat="1" applyFill="1" applyBorder="1" applyAlignment="1">
      <alignment/>
    </xf>
    <xf numFmtId="10" fontId="6" fillId="7" borderId="56" xfId="72" applyNumberFormat="1" applyFont="1" applyFill="1" applyBorder="1" applyAlignment="1">
      <alignment horizontal="center"/>
    </xf>
    <xf numFmtId="198" fontId="6" fillId="7" borderId="144" xfId="72" applyNumberFormat="1" applyFont="1" applyFill="1" applyBorder="1" applyAlignment="1">
      <alignment horizontal="center"/>
    </xf>
    <xf numFmtId="198" fontId="6" fillId="0" borderId="27" xfId="72" applyNumberFormat="1" applyFont="1" applyFill="1" applyBorder="1" applyAlignment="1">
      <alignment horizontal="center"/>
    </xf>
    <xf numFmtId="9" fontId="6" fillId="7" borderId="143" xfId="72" applyNumberFormat="1" applyFont="1" applyFill="1" applyBorder="1" applyAlignment="1">
      <alignment horizontal="center"/>
    </xf>
    <xf numFmtId="0" fontId="16" fillId="0" borderId="145" xfId="0" applyFont="1" applyFill="1" applyBorder="1" applyAlignment="1">
      <alignment/>
    </xf>
    <xf numFmtId="9" fontId="6" fillId="0" borderId="146" xfId="72" applyNumberFormat="1" applyFont="1" applyFill="1" applyBorder="1" applyAlignment="1">
      <alignment horizontal="center"/>
    </xf>
    <xf numFmtId="9" fontId="6" fillId="0" borderId="147" xfId="72" applyNumberFormat="1" applyFont="1" applyFill="1" applyBorder="1" applyAlignment="1">
      <alignment horizontal="center"/>
    </xf>
    <xf numFmtId="9" fontId="6" fillId="0" borderId="148" xfId="72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9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0" fontId="16" fillId="7" borderId="145" xfId="0" applyFont="1" applyFill="1" applyBorder="1" applyAlignment="1">
      <alignment/>
    </xf>
    <xf numFmtId="9" fontId="6" fillId="7" borderId="146" xfId="72" applyNumberFormat="1" applyFont="1" applyFill="1" applyBorder="1" applyAlignment="1">
      <alignment horizontal="center"/>
    </xf>
    <xf numFmtId="9" fontId="6" fillId="7" borderId="147" xfId="72" applyNumberFormat="1" applyFont="1" applyFill="1" applyBorder="1" applyAlignment="1">
      <alignment horizontal="center"/>
    </xf>
    <xf numFmtId="9" fontId="6" fillId="7" borderId="148" xfId="72" applyNumberFormat="1" applyFont="1" applyFill="1" applyBorder="1" applyAlignment="1">
      <alignment horizontal="center"/>
    </xf>
    <xf numFmtId="0" fontId="16" fillId="0" borderId="57" xfId="0" applyFont="1" applyFill="1" applyBorder="1" applyAlignment="1">
      <alignment/>
    </xf>
    <xf numFmtId="9" fontId="6" fillId="0" borderId="70" xfId="72" applyNumberFormat="1" applyFont="1" applyFill="1" applyBorder="1" applyAlignment="1">
      <alignment horizontal="center"/>
    </xf>
    <xf numFmtId="9" fontId="6" fillId="0" borderId="149" xfId="72" applyNumberFormat="1" applyFont="1" applyFill="1" applyBorder="1" applyAlignment="1">
      <alignment horizontal="center"/>
    </xf>
    <xf numFmtId="9" fontId="6" fillId="0" borderId="112" xfId="72" applyNumberFormat="1" applyFont="1" applyFill="1" applyBorder="1" applyAlignment="1">
      <alignment horizontal="center"/>
    </xf>
    <xf numFmtId="9" fontId="6" fillId="0" borderId="150" xfId="72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58" applyBorder="1" applyAlignment="1">
      <alignment horizontal="centerContinuous"/>
      <protection/>
    </xf>
    <xf numFmtId="200" fontId="0" fillId="0" borderId="0" xfId="58" applyNumberFormat="1">
      <alignment/>
      <protection/>
    </xf>
    <xf numFmtId="3" fontId="0" fillId="27" borderId="23" xfId="58" applyNumberFormat="1" applyFill="1" applyBorder="1" applyAlignment="1">
      <alignment horizontal="center"/>
      <protection/>
    </xf>
    <xf numFmtId="202" fontId="4" fillId="27" borderId="45" xfId="58" applyNumberFormat="1" applyFont="1" applyFill="1" applyBorder="1">
      <alignment/>
      <protection/>
    </xf>
    <xf numFmtId="202" fontId="0" fillId="27" borderId="45" xfId="58" applyNumberFormat="1" applyFill="1" applyBorder="1">
      <alignment/>
      <protection/>
    </xf>
    <xf numFmtId="202" fontId="0" fillId="27" borderId="11" xfId="58" applyNumberFormat="1" applyFill="1" applyBorder="1">
      <alignment/>
      <protection/>
    </xf>
    <xf numFmtId="201" fontId="0" fillId="27" borderId="12" xfId="58" applyNumberFormat="1" applyFill="1" applyBorder="1" applyAlignment="1" quotePrefix="1">
      <alignment horizontal="center"/>
      <protection/>
    </xf>
    <xf numFmtId="202" fontId="0" fillId="27" borderId="0" xfId="58" applyNumberFormat="1" applyFill="1" applyBorder="1">
      <alignment/>
      <protection/>
    </xf>
    <xf numFmtId="201" fontId="0" fillId="27" borderId="11" xfId="58" applyNumberFormat="1" applyFill="1" applyBorder="1">
      <alignment/>
      <protection/>
    </xf>
    <xf numFmtId="202" fontId="0" fillId="27" borderId="24" xfId="58" applyNumberFormat="1" applyFont="1" applyFill="1" applyBorder="1">
      <alignment/>
      <protection/>
    </xf>
    <xf numFmtId="211" fontId="0" fillId="7" borderId="23" xfId="58" applyNumberFormat="1" applyFill="1" applyBorder="1" applyAlignment="1">
      <alignment horizontal="center"/>
      <protection/>
    </xf>
    <xf numFmtId="212" fontId="4" fillId="7" borderId="45" xfId="58" applyNumberFormat="1" applyFont="1" applyFill="1" applyBorder="1">
      <alignment/>
      <protection/>
    </xf>
    <xf numFmtId="212" fontId="0" fillId="7" borderId="45" xfId="58" applyNumberFormat="1" applyFill="1" applyBorder="1">
      <alignment/>
      <protection/>
    </xf>
    <xf numFmtId="212" fontId="0" fillId="7" borderId="11" xfId="58" applyNumberFormat="1" applyFill="1" applyBorder="1">
      <alignment/>
      <protection/>
    </xf>
    <xf numFmtId="212" fontId="0" fillId="7" borderId="12" xfId="58" applyNumberFormat="1" applyFill="1" applyBorder="1" applyAlignment="1" quotePrefix="1">
      <alignment horizontal="center"/>
      <protection/>
    </xf>
    <xf numFmtId="212" fontId="0" fillId="27" borderId="12" xfId="58" applyNumberFormat="1" applyFill="1" applyBorder="1">
      <alignment/>
      <protection/>
    </xf>
    <xf numFmtId="212" fontId="0" fillId="7" borderId="0" xfId="58" applyNumberFormat="1" applyFill="1" applyBorder="1">
      <alignment/>
      <protection/>
    </xf>
    <xf numFmtId="212" fontId="0" fillId="7" borderId="24" xfId="58" applyNumberFormat="1" applyFont="1" applyFill="1" applyBorder="1">
      <alignment/>
      <protection/>
    </xf>
    <xf numFmtId="211" fontId="0" fillId="27" borderId="23" xfId="58" applyNumberFormat="1" applyFill="1" applyBorder="1" applyAlignment="1">
      <alignment horizontal="center"/>
      <protection/>
    </xf>
    <xf numFmtId="212" fontId="4" fillId="27" borderId="45" xfId="58" applyNumberFormat="1" applyFont="1" applyFill="1" applyBorder="1">
      <alignment/>
      <protection/>
    </xf>
    <xf numFmtId="212" fontId="0" fillId="27" borderId="45" xfId="58" applyNumberFormat="1" applyFill="1" applyBorder="1">
      <alignment/>
      <protection/>
    </xf>
    <xf numFmtId="212" fontId="0" fillId="27" borderId="12" xfId="58" applyNumberFormat="1" applyFill="1" applyBorder="1" applyAlignment="1">
      <alignment horizontal="right"/>
      <protection/>
    </xf>
    <xf numFmtId="212" fontId="0" fillId="27" borderId="11" xfId="58" applyNumberFormat="1" applyFill="1" applyBorder="1">
      <alignment/>
      <protection/>
    </xf>
    <xf numFmtId="212" fontId="0" fillId="27" borderId="24" xfId="58" applyNumberFormat="1" applyFont="1" applyFill="1" applyBorder="1">
      <alignment/>
      <protection/>
    </xf>
    <xf numFmtId="212" fontId="0" fillId="7" borderId="12" xfId="58" applyNumberFormat="1" applyFill="1" applyBorder="1">
      <alignment/>
      <protection/>
    </xf>
    <xf numFmtId="212" fontId="0" fillId="7" borderId="12" xfId="58" applyNumberFormat="1" applyFill="1" applyBorder="1" applyAlignment="1">
      <alignment horizontal="right"/>
      <protection/>
    </xf>
    <xf numFmtId="212" fontId="0" fillId="27" borderId="0" xfId="58" applyNumberFormat="1" applyFill="1" applyBorder="1">
      <alignment/>
      <protection/>
    </xf>
    <xf numFmtId="0" fontId="0" fillId="0" borderId="0" xfId="58" applyAlignment="1">
      <alignment horizontal="right"/>
      <protection/>
    </xf>
    <xf numFmtId="211" fontId="0" fillId="7" borderId="23" xfId="58" applyNumberFormat="1" applyFont="1" applyFill="1" applyBorder="1" applyAlignment="1">
      <alignment horizontal="center"/>
      <protection/>
    </xf>
    <xf numFmtId="212" fontId="4" fillId="0" borderId="45" xfId="58" applyNumberFormat="1" applyFont="1" applyFill="1" applyBorder="1">
      <alignment/>
      <protection/>
    </xf>
    <xf numFmtId="212" fontId="0" fillId="0" borderId="12" xfId="58" applyNumberFormat="1" applyFill="1" applyBorder="1">
      <alignment/>
      <protection/>
    </xf>
    <xf numFmtId="212" fontId="0" fillId="0" borderId="45" xfId="58" applyNumberFormat="1" applyFill="1" applyBorder="1">
      <alignment/>
      <protection/>
    </xf>
    <xf numFmtId="212" fontId="0" fillId="0" borderId="11" xfId="58" applyNumberFormat="1" applyFill="1" applyBorder="1">
      <alignment/>
      <protection/>
    </xf>
    <xf numFmtId="212" fontId="0" fillId="0" borderId="24" xfId="58" applyNumberFormat="1" applyFont="1" applyFill="1" applyBorder="1">
      <alignment/>
      <protection/>
    </xf>
    <xf numFmtId="212" fontId="0" fillId="0" borderId="0" xfId="58" applyNumberFormat="1">
      <alignment/>
      <protection/>
    </xf>
    <xf numFmtId="211" fontId="0" fillId="0" borderId="23" xfId="58" applyNumberFormat="1" applyFill="1" applyBorder="1" applyAlignment="1">
      <alignment horizontal="center"/>
      <protection/>
    </xf>
    <xf numFmtId="211" fontId="0" fillId="28" borderId="23" xfId="58" applyNumberFormat="1" applyFont="1" applyFill="1" applyBorder="1" applyAlignment="1">
      <alignment horizontal="center"/>
      <protection/>
    </xf>
    <xf numFmtId="212" fontId="4" fillId="28" borderId="45" xfId="58" applyNumberFormat="1" applyFont="1" applyFill="1" applyBorder="1">
      <alignment/>
      <protection/>
    </xf>
    <xf numFmtId="212" fontId="0" fillId="28" borderId="45" xfId="58" applyNumberFormat="1" applyFill="1" applyBorder="1">
      <alignment/>
      <protection/>
    </xf>
    <xf numFmtId="212" fontId="0" fillId="28" borderId="11" xfId="58" applyNumberFormat="1" applyFill="1" applyBorder="1">
      <alignment/>
      <protection/>
    </xf>
    <xf numFmtId="212" fontId="0" fillId="28" borderId="12" xfId="58" applyNumberFormat="1" applyFill="1" applyBorder="1">
      <alignment/>
      <protection/>
    </xf>
    <xf numFmtId="212" fontId="0" fillId="28" borderId="24" xfId="58" applyNumberFormat="1" applyFont="1" applyFill="1" applyBorder="1">
      <alignment/>
      <protection/>
    </xf>
    <xf numFmtId="211" fontId="4" fillId="0" borderId="23" xfId="58" applyNumberFormat="1" applyFont="1" applyFill="1" applyBorder="1" applyAlignment="1">
      <alignment horizontal="center"/>
      <protection/>
    </xf>
    <xf numFmtId="212" fontId="0" fillId="0" borderId="13" xfId="58" applyNumberFormat="1" applyFill="1" applyBorder="1">
      <alignment/>
      <protection/>
    </xf>
    <xf numFmtId="0" fontId="16" fillId="7" borderId="55" xfId="58" applyFont="1" applyFill="1" applyBorder="1">
      <alignment/>
      <protection/>
    </xf>
    <xf numFmtId="9" fontId="6" fillId="7" borderId="56" xfId="68" applyNumberFormat="1" applyFont="1" applyFill="1" applyBorder="1" applyAlignment="1">
      <alignment horizontal="center"/>
    </xf>
    <xf numFmtId="9" fontId="7" fillId="7" borderId="143" xfId="68" applyNumberFormat="1" applyFont="1" applyFill="1" applyBorder="1" applyAlignment="1">
      <alignment horizontal="center"/>
    </xf>
    <xf numFmtId="9" fontId="7" fillId="7" borderId="144" xfId="68" applyNumberFormat="1" applyFont="1" applyFill="1" applyBorder="1" applyAlignment="1">
      <alignment horizontal="center"/>
    </xf>
    <xf numFmtId="9" fontId="6" fillId="0" borderId="0" xfId="68" applyNumberFormat="1" applyFont="1" applyFill="1" applyBorder="1" applyAlignment="1">
      <alignment horizontal="center"/>
    </xf>
    <xf numFmtId="9" fontId="0" fillId="0" borderId="27" xfId="58" applyNumberFormat="1" applyFill="1" applyBorder="1">
      <alignment/>
      <protection/>
    </xf>
    <xf numFmtId="9" fontId="7" fillId="7" borderId="56" xfId="68" applyNumberFormat="1" applyFont="1" applyFill="1" applyBorder="1" applyAlignment="1">
      <alignment horizontal="center"/>
    </xf>
    <xf numFmtId="0" fontId="16" fillId="0" borderId="145" xfId="58" applyFont="1" applyFill="1" applyBorder="1">
      <alignment/>
      <protection/>
    </xf>
    <xf numFmtId="9" fontId="6" fillId="0" borderId="146" xfId="68" applyNumberFormat="1" applyFont="1" applyFill="1" applyBorder="1" applyAlignment="1">
      <alignment horizontal="center"/>
    </xf>
    <xf numFmtId="9" fontId="7" fillId="0" borderId="147" xfId="68" applyNumberFormat="1" applyFont="1" applyFill="1" applyBorder="1" applyAlignment="1">
      <alignment horizontal="center"/>
    </xf>
    <xf numFmtId="9" fontId="7" fillId="0" borderId="148" xfId="68" applyNumberFormat="1" applyFont="1" applyFill="1" applyBorder="1" applyAlignment="1">
      <alignment horizontal="center"/>
    </xf>
    <xf numFmtId="9" fontId="0" fillId="0" borderId="0" xfId="58" applyNumberFormat="1" applyFill="1" applyBorder="1">
      <alignment/>
      <protection/>
    </xf>
    <xf numFmtId="9" fontId="7" fillId="0" borderId="146" xfId="68" applyNumberFormat="1" applyFont="1" applyFill="1" applyBorder="1" applyAlignment="1">
      <alignment horizontal="center"/>
    </xf>
    <xf numFmtId="9" fontId="0" fillId="0" borderId="0" xfId="58" applyNumberFormat="1" applyFill="1">
      <alignment/>
      <protection/>
    </xf>
    <xf numFmtId="0" fontId="16" fillId="7" borderId="145" xfId="58" applyFont="1" applyFill="1" applyBorder="1">
      <alignment/>
      <protection/>
    </xf>
    <xf numFmtId="9" fontId="6" fillId="7" borderId="146" xfId="68" applyNumberFormat="1" applyFont="1" applyFill="1" applyBorder="1" applyAlignment="1">
      <alignment horizontal="center"/>
    </xf>
    <xf numFmtId="9" fontId="7" fillId="7" borderId="147" xfId="68" applyNumberFormat="1" applyFont="1" applyFill="1" applyBorder="1" applyAlignment="1">
      <alignment horizontal="center"/>
    </xf>
    <xf numFmtId="9" fontId="7" fillId="7" borderId="148" xfId="68" applyNumberFormat="1" applyFont="1" applyFill="1" applyBorder="1" applyAlignment="1">
      <alignment horizontal="center"/>
    </xf>
    <xf numFmtId="9" fontId="7" fillId="7" borderId="146" xfId="68" applyNumberFormat="1" applyFont="1" applyFill="1" applyBorder="1" applyAlignment="1">
      <alignment horizontal="center"/>
    </xf>
    <xf numFmtId="0" fontId="16" fillId="0" borderId="57" xfId="58" applyFont="1" applyFill="1" applyBorder="1">
      <alignment/>
      <protection/>
    </xf>
    <xf numFmtId="9" fontId="6" fillId="0" borderId="62" xfId="68" applyNumberFormat="1" applyFont="1" applyFill="1" applyBorder="1" applyAlignment="1">
      <alignment horizontal="center"/>
    </xf>
    <xf numFmtId="9" fontId="7" fillId="0" borderId="149" xfId="68" applyNumberFormat="1" applyFont="1" applyFill="1" applyBorder="1" applyAlignment="1">
      <alignment horizontal="center"/>
    </xf>
    <xf numFmtId="9" fontId="7" fillId="0" borderId="150" xfId="68" applyNumberFormat="1" applyFont="1" applyFill="1" applyBorder="1" applyAlignment="1">
      <alignment horizontal="center"/>
    </xf>
    <xf numFmtId="9" fontId="7" fillId="0" borderId="62" xfId="68" applyNumberFormat="1" applyFont="1" applyFill="1" applyBorder="1" applyAlignment="1">
      <alignment horizontal="center"/>
    </xf>
    <xf numFmtId="0" fontId="158" fillId="34" borderId="26" xfId="58" applyFont="1" applyFill="1" applyBorder="1" applyAlignment="1">
      <alignment horizontal="center"/>
      <protection/>
    </xf>
    <xf numFmtId="0" fontId="158" fillId="34" borderId="29" xfId="58" applyFont="1" applyFill="1" applyBorder="1" applyAlignment="1">
      <alignment horizontal="centerContinuous"/>
      <protection/>
    </xf>
    <xf numFmtId="0" fontId="158" fillId="34" borderId="71" xfId="58" applyFont="1" applyFill="1" applyBorder="1" applyAlignment="1">
      <alignment horizontal="centerContinuous"/>
      <protection/>
    </xf>
    <xf numFmtId="0" fontId="158" fillId="34" borderId="14" xfId="58" applyFont="1" applyFill="1" applyBorder="1" applyAlignment="1">
      <alignment horizontal="centerContinuous"/>
      <protection/>
    </xf>
    <xf numFmtId="0" fontId="159" fillId="34" borderId="71" xfId="58" applyFont="1" applyFill="1" applyBorder="1" applyAlignment="1">
      <alignment horizontal="centerContinuous"/>
      <protection/>
    </xf>
    <xf numFmtId="0" fontId="159" fillId="34" borderId="14" xfId="58" applyFont="1" applyFill="1" applyBorder="1" applyAlignment="1">
      <alignment horizontal="centerContinuous"/>
      <protection/>
    </xf>
    <xf numFmtId="0" fontId="159" fillId="34" borderId="84" xfId="58" applyFont="1" applyFill="1" applyBorder="1" applyAlignment="1">
      <alignment horizontal="centerContinuous"/>
      <protection/>
    </xf>
    <xf numFmtId="0" fontId="158" fillId="34" borderId="58" xfId="58" applyFont="1" applyFill="1" applyBorder="1" applyAlignment="1">
      <alignment horizontal="center"/>
      <protection/>
    </xf>
    <xf numFmtId="0" fontId="172" fillId="34" borderId="48" xfId="58" applyFont="1" applyFill="1" applyBorder="1" applyAlignment="1">
      <alignment horizontal="center"/>
      <protection/>
    </xf>
    <xf numFmtId="0" fontId="172" fillId="34" borderId="42" xfId="58" applyFont="1" applyFill="1" applyBorder="1" applyAlignment="1">
      <alignment horizontal="center"/>
      <protection/>
    </xf>
    <xf numFmtId="0" fontId="172" fillId="34" borderId="81" xfId="58" applyFont="1" applyFill="1" applyBorder="1" applyAlignment="1">
      <alignment horizontal="center"/>
      <protection/>
    </xf>
    <xf numFmtId="0" fontId="172" fillId="34" borderId="39" xfId="58" applyFont="1" applyFill="1" applyBorder="1" applyAlignment="1">
      <alignment horizontal="center"/>
      <protection/>
    </xf>
    <xf numFmtId="0" fontId="172" fillId="34" borderId="73" xfId="58" applyFont="1" applyFill="1" applyBorder="1" applyAlignment="1">
      <alignment horizontal="center"/>
      <protection/>
    </xf>
    <xf numFmtId="0" fontId="172" fillId="34" borderId="95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211" fontId="0" fillId="27" borderId="23" xfId="58" applyNumberFormat="1" applyFill="1" applyBorder="1" applyAlignment="1" applyProtection="1">
      <alignment horizontal="center"/>
      <protection locked="0"/>
    </xf>
    <xf numFmtId="202" fontId="4" fillId="27" borderId="0" xfId="58" applyNumberFormat="1" applyFont="1" applyFill="1" applyBorder="1" applyProtection="1">
      <alignment/>
      <protection locked="0"/>
    </xf>
    <xf numFmtId="202" fontId="0" fillId="27" borderId="11" xfId="58" applyNumberFormat="1" applyFill="1" applyBorder="1" applyProtection="1">
      <alignment/>
      <protection locked="0"/>
    </xf>
    <xf numFmtId="202" fontId="0" fillId="27" borderId="12" xfId="58" applyNumberFormat="1" applyFill="1" applyBorder="1" applyProtection="1">
      <alignment/>
      <protection locked="0"/>
    </xf>
    <xf numFmtId="202" fontId="0" fillId="27" borderId="45" xfId="58" applyNumberFormat="1" applyFill="1" applyBorder="1" applyProtection="1">
      <alignment/>
      <protection locked="0"/>
    </xf>
    <xf numFmtId="201" fontId="0" fillId="27" borderId="45" xfId="58" applyNumberFormat="1" applyFill="1" applyBorder="1" applyAlignment="1" applyProtection="1" quotePrefix="1">
      <alignment horizontal="center"/>
      <protection locked="0"/>
    </xf>
    <xf numFmtId="202" fontId="0" fillId="27" borderId="0" xfId="58" applyNumberFormat="1" applyFill="1" applyBorder="1" applyProtection="1">
      <alignment/>
      <protection locked="0"/>
    </xf>
    <xf numFmtId="211" fontId="0" fillId="28" borderId="23" xfId="58" applyNumberFormat="1" applyFill="1" applyBorder="1" applyAlignment="1" applyProtection="1">
      <alignment horizontal="center"/>
      <protection locked="0"/>
    </xf>
    <xf numFmtId="202" fontId="4" fillId="28" borderId="22" xfId="58" applyNumberFormat="1" applyFont="1" applyFill="1" applyBorder="1" applyProtection="1">
      <alignment/>
      <protection locked="0"/>
    </xf>
    <xf numFmtId="202" fontId="0" fillId="28" borderId="11" xfId="58" applyNumberFormat="1" applyFill="1" applyBorder="1" applyProtection="1">
      <alignment/>
      <protection locked="0"/>
    </xf>
    <xf numFmtId="202" fontId="0" fillId="28" borderId="12" xfId="58" applyNumberFormat="1" applyFill="1" applyBorder="1" applyProtection="1">
      <alignment/>
      <protection locked="0"/>
    </xf>
    <xf numFmtId="202" fontId="0" fillId="28" borderId="45" xfId="58" applyNumberFormat="1" applyFill="1" applyBorder="1" applyProtection="1">
      <alignment/>
      <protection locked="0"/>
    </xf>
    <xf numFmtId="201" fontId="0" fillId="28" borderId="45" xfId="58" applyNumberFormat="1" applyFill="1" applyBorder="1" applyProtection="1">
      <alignment/>
      <protection locked="0"/>
    </xf>
    <xf numFmtId="202" fontId="0" fillId="28" borderId="0" xfId="58" applyNumberFormat="1" applyFill="1" applyBorder="1" applyProtection="1">
      <alignment/>
      <protection locked="0"/>
    </xf>
    <xf numFmtId="202" fontId="0" fillId="28" borderId="11" xfId="58" applyNumberFormat="1" applyFill="1" applyBorder="1">
      <alignment/>
      <protection/>
    </xf>
    <xf numFmtId="201" fontId="0" fillId="28" borderId="12" xfId="58" applyNumberFormat="1" applyFill="1" applyBorder="1">
      <alignment/>
      <protection/>
    </xf>
    <xf numFmtId="202" fontId="0" fillId="28" borderId="0" xfId="58" applyNumberFormat="1" applyFill="1" applyBorder="1">
      <alignment/>
      <protection/>
    </xf>
    <xf numFmtId="202" fontId="0" fillId="28" borderId="24" xfId="58" applyNumberFormat="1" applyFont="1" applyFill="1" applyBorder="1">
      <alignment/>
      <protection/>
    </xf>
    <xf numFmtId="0" fontId="0" fillId="0" borderId="0" xfId="58" applyFill="1" applyBorder="1" applyAlignment="1">
      <alignment horizontal="center"/>
      <protection/>
    </xf>
    <xf numFmtId="201" fontId="0" fillId="0" borderId="0" xfId="58" applyNumberFormat="1" applyFill="1" applyBorder="1" applyAlignment="1">
      <alignment horizontal="center"/>
      <protection/>
    </xf>
    <xf numFmtId="198" fontId="6" fillId="0" borderId="0" xfId="68" applyNumberFormat="1" applyFont="1" applyFill="1" applyBorder="1" applyAlignment="1">
      <alignment horizontal="center"/>
    </xf>
    <xf numFmtId="202" fontId="4" fillId="27" borderId="22" xfId="58" applyNumberFormat="1" applyFont="1" applyFill="1" applyBorder="1" applyProtection="1">
      <alignment/>
      <protection locked="0"/>
    </xf>
    <xf numFmtId="201" fontId="0" fillId="27" borderId="45" xfId="58" applyNumberFormat="1" applyFill="1" applyBorder="1" applyProtection="1">
      <alignment/>
      <protection locked="0"/>
    </xf>
    <xf numFmtId="201" fontId="0" fillId="27" borderId="12" xfId="58" applyNumberFormat="1" applyFill="1" applyBorder="1" applyAlignment="1" quotePrefix="1">
      <alignment horizontal="right"/>
      <protection/>
    </xf>
    <xf numFmtId="202" fontId="4" fillId="28" borderId="0" xfId="58" applyNumberFormat="1" applyFont="1" applyFill="1" applyBorder="1" applyProtection="1">
      <alignment/>
      <protection locked="0"/>
    </xf>
    <xf numFmtId="201" fontId="0" fillId="27" borderId="12" xfId="58" applyNumberFormat="1" applyFill="1" applyBorder="1">
      <alignment/>
      <protection/>
    </xf>
    <xf numFmtId="211" fontId="0" fillId="28" borderId="23" xfId="58" applyNumberFormat="1" applyFill="1" applyBorder="1" applyAlignment="1">
      <alignment horizontal="center"/>
      <protection/>
    </xf>
    <xf numFmtId="201" fontId="0" fillId="27" borderId="12" xfId="58" applyNumberFormat="1" applyFill="1" applyBorder="1" applyProtection="1">
      <alignment/>
      <protection locked="0"/>
    </xf>
    <xf numFmtId="202" fontId="0" fillId="27" borderId="12" xfId="58" applyNumberFormat="1" applyFill="1" applyBorder="1">
      <alignment/>
      <protection/>
    </xf>
    <xf numFmtId="201" fontId="0" fillId="28" borderId="12" xfId="58" applyNumberFormat="1" applyFill="1" applyBorder="1" applyProtection="1">
      <alignment/>
      <protection locked="0"/>
    </xf>
    <xf numFmtId="202" fontId="0" fillId="28" borderId="12" xfId="58" applyNumberFormat="1" applyFill="1" applyBorder="1">
      <alignment/>
      <protection/>
    </xf>
    <xf numFmtId="211" fontId="0" fillId="27" borderId="23" xfId="58" applyNumberFormat="1" applyFont="1" applyFill="1" applyBorder="1" applyAlignment="1">
      <alignment horizontal="center"/>
      <protection/>
    </xf>
    <xf numFmtId="211" fontId="0" fillId="0" borderId="23" xfId="58" applyNumberFormat="1" applyFont="1" applyFill="1" applyBorder="1" applyAlignment="1">
      <alignment horizontal="center"/>
      <protection/>
    </xf>
    <xf numFmtId="202" fontId="4" fillId="0" borderId="0" xfId="58" applyNumberFormat="1" applyFont="1" applyFill="1" applyBorder="1" applyProtection="1">
      <alignment/>
      <protection locked="0"/>
    </xf>
    <xf numFmtId="202" fontId="0" fillId="0" borderId="11" xfId="58" applyNumberFormat="1" applyFill="1" applyBorder="1" applyProtection="1">
      <alignment/>
      <protection locked="0"/>
    </xf>
    <xf numFmtId="201" fontId="0" fillId="0" borderId="12" xfId="58" applyNumberFormat="1" applyFill="1" applyBorder="1" applyProtection="1">
      <alignment/>
      <protection locked="0"/>
    </xf>
    <xf numFmtId="202" fontId="0" fillId="0" borderId="45" xfId="58" applyNumberFormat="1" applyFill="1" applyBorder="1" applyProtection="1">
      <alignment/>
      <protection locked="0"/>
    </xf>
    <xf numFmtId="202" fontId="0" fillId="0" borderId="12" xfId="58" applyNumberFormat="1" applyFill="1" applyBorder="1">
      <alignment/>
      <protection/>
    </xf>
    <xf numFmtId="201" fontId="0" fillId="0" borderId="12" xfId="58" applyNumberFormat="1" applyFill="1" applyBorder="1">
      <alignment/>
      <protection/>
    </xf>
    <xf numFmtId="202" fontId="0" fillId="0" borderId="0" xfId="58" applyNumberFormat="1" applyFill="1" applyBorder="1">
      <alignment/>
      <protection/>
    </xf>
    <xf numFmtId="202" fontId="0" fillId="0" borderId="11" xfId="58" applyNumberFormat="1" applyFill="1" applyBorder="1">
      <alignment/>
      <protection/>
    </xf>
    <xf numFmtId="202" fontId="0" fillId="0" borderId="24" xfId="58" applyNumberFormat="1" applyFont="1" applyFill="1" applyBorder="1">
      <alignment/>
      <protection/>
    </xf>
    <xf numFmtId="0" fontId="0" fillId="17" borderId="0" xfId="58" applyFill="1">
      <alignment/>
      <protection/>
    </xf>
    <xf numFmtId="0" fontId="0" fillId="17" borderId="0" xfId="58" applyFont="1" applyFill="1">
      <alignment/>
      <protection/>
    </xf>
    <xf numFmtId="201" fontId="0" fillId="0" borderId="0" xfId="58" applyNumberFormat="1">
      <alignment/>
      <protection/>
    </xf>
    <xf numFmtId="0" fontId="16" fillId="28" borderId="55" xfId="58" applyFont="1" applyFill="1" applyBorder="1">
      <alignment/>
      <protection/>
    </xf>
    <xf numFmtId="9" fontId="6" fillId="28" borderId="56" xfId="68" applyNumberFormat="1" applyFont="1" applyFill="1" applyBorder="1" applyAlignment="1">
      <alignment horizontal="center"/>
    </xf>
    <xf numFmtId="198" fontId="6" fillId="28" borderId="143" xfId="68" applyNumberFormat="1" applyFont="1" applyFill="1" applyBorder="1" applyAlignment="1">
      <alignment horizontal="center"/>
    </xf>
    <xf numFmtId="9" fontId="6" fillId="28" borderId="144" xfId="68" applyNumberFormat="1" applyFont="1" applyFill="1" applyBorder="1" applyAlignment="1">
      <alignment horizontal="center"/>
    </xf>
    <xf numFmtId="9" fontId="6" fillId="28" borderId="144" xfId="68" applyNumberFormat="1" applyFont="1" applyFill="1" applyBorder="1" applyAlignment="1" quotePrefix="1">
      <alignment horizontal="right"/>
    </xf>
    <xf numFmtId="9" fontId="6" fillId="28" borderId="143" xfId="68" applyNumberFormat="1" applyFont="1" applyFill="1" applyBorder="1" applyAlignment="1">
      <alignment horizontal="center"/>
    </xf>
    <xf numFmtId="9" fontId="6" fillId="27" borderId="27" xfId="68" applyNumberFormat="1" applyFont="1" applyFill="1" applyBorder="1" applyAlignment="1">
      <alignment horizontal="center"/>
    </xf>
    <xf numFmtId="9" fontId="0" fillId="27" borderId="27" xfId="58" applyNumberFormat="1" applyFill="1" applyBorder="1">
      <alignment/>
      <protection/>
    </xf>
    <xf numFmtId="0" fontId="16" fillId="27" borderId="145" xfId="58" applyFont="1" applyFill="1" applyBorder="1">
      <alignment/>
      <protection/>
    </xf>
    <xf numFmtId="9" fontId="6" fillId="27" borderId="146" xfId="68" applyNumberFormat="1" applyFont="1" applyFill="1" applyBorder="1" applyAlignment="1">
      <alignment horizontal="center"/>
    </xf>
    <xf numFmtId="9" fontId="6" fillId="27" borderId="147" xfId="68" applyNumberFormat="1" applyFont="1" applyFill="1" applyBorder="1" applyAlignment="1">
      <alignment horizontal="center"/>
    </xf>
    <xf numFmtId="9" fontId="6" fillId="27" borderId="148" xfId="68" applyNumberFormat="1" applyFont="1" applyFill="1" applyBorder="1" applyAlignment="1">
      <alignment horizontal="center"/>
    </xf>
    <xf numFmtId="9" fontId="6" fillId="27" borderId="147" xfId="68" applyNumberFormat="1" applyFont="1" applyFill="1" applyBorder="1" applyAlignment="1" quotePrefix="1">
      <alignment horizontal="right"/>
    </xf>
    <xf numFmtId="9" fontId="6" fillId="27" borderId="148" xfId="68" applyNumberFormat="1" applyFont="1" applyFill="1" applyBorder="1" applyAlignment="1">
      <alignment horizontal="right"/>
    </xf>
    <xf numFmtId="9" fontId="6" fillId="27" borderId="0" xfId="68" applyNumberFormat="1" applyFont="1" applyFill="1" applyBorder="1" applyAlignment="1">
      <alignment horizontal="center"/>
    </xf>
    <xf numFmtId="9" fontId="0" fillId="27" borderId="0" xfId="58" applyNumberFormat="1" applyFill="1">
      <alignment/>
      <protection/>
    </xf>
    <xf numFmtId="0" fontId="16" fillId="28" borderId="145" xfId="58" applyFont="1" applyFill="1" applyBorder="1">
      <alignment/>
      <protection/>
    </xf>
    <xf numFmtId="9" fontId="6" fillId="28" borderId="146" xfId="68" applyNumberFormat="1" applyFont="1" applyFill="1" applyBorder="1" applyAlignment="1">
      <alignment horizontal="center"/>
    </xf>
    <xf numFmtId="9" fontId="6" fillId="28" borderId="147" xfId="68" applyNumberFormat="1" applyFont="1" applyFill="1" applyBorder="1" applyAlignment="1">
      <alignment horizontal="center"/>
    </xf>
    <xf numFmtId="9" fontId="6" fillId="28" borderId="148" xfId="68" applyNumberFormat="1" applyFont="1" applyFill="1" applyBorder="1" applyAlignment="1">
      <alignment horizontal="center"/>
    </xf>
    <xf numFmtId="9" fontId="6" fillId="28" borderId="147" xfId="68" applyNumberFormat="1" applyFont="1" applyFill="1" applyBorder="1" applyAlignment="1">
      <alignment horizontal="right"/>
    </xf>
    <xf numFmtId="9" fontId="6" fillId="28" borderId="148" xfId="68" applyNumberFormat="1" applyFont="1" applyFill="1" applyBorder="1" applyAlignment="1">
      <alignment horizontal="right"/>
    </xf>
    <xf numFmtId="0" fontId="16" fillId="27" borderId="57" xfId="58" applyFont="1" applyFill="1" applyBorder="1">
      <alignment/>
      <protection/>
    </xf>
    <xf numFmtId="9" fontId="6" fillId="27" borderId="62" xfId="68" applyNumberFormat="1" applyFont="1" applyFill="1" applyBorder="1" applyAlignment="1">
      <alignment horizontal="center"/>
    </xf>
    <xf numFmtId="9" fontId="6" fillId="27" borderId="149" xfId="68" applyNumberFormat="1" applyFont="1" applyFill="1" applyBorder="1" applyAlignment="1">
      <alignment horizontal="center"/>
    </xf>
    <xf numFmtId="9" fontId="6" fillId="27" borderId="150" xfId="68" applyNumberFormat="1" applyFont="1" applyFill="1" applyBorder="1" applyAlignment="1">
      <alignment horizontal="center"/>
    </xf>
    <xf numFmtId="9" fontId="6" fillId="27" borderId="149" xfId="68" applyNumberFormat="1" applyFont="1" applyFill="1" applyBorder="1" applyAlignment="1">
      <alignment horizontal="right"/>
    </xf>
    <xf numFmtId="9" fontId="6" fillId="27" borderId="150" xfId="68" applyNumberFormat="1" applyFont="1" applyFill="1" applyBorder="1" applyAlignment="1">
      <alignment horizontal="right"/>
    </xf>
    <xf numFmtId="0" fontId="16" fillId="27" borderId="0" xfId="58" applyFont="1" applyFill="1" applyBorder="1">
      <alignment/>
      <protection/>
    </xf>
    <xf numFmtId="198" fontId="0" fillId="0" borderId="0" xfId="68" applyNumberFormat="1" applyAlignment="1">
      <alignment/>
    </xf>
    <xf numFmtId="0" fontId="7" fillId="0" borderId="0" xfId="58" applyFont="1">
      <alignment/>
      <protection/>
    </xf>
    <xf numFmtId="0" fontId="20" fillId="0" borderId="0" xfId="58" applyFont="1">
      <alignment/>
      <protection/>
    </xf>
    <xf numFmtId="0" fontId="4" fillId="0" borderId="0" xfId="58" applyFont="1" applyFill="1" applyBorder="1">
      <alignment/>
      <protection/>
    </xf>
    <xf numFmtId="9" fontId="6" fillId="0" borderId="0" xfId="68" applyFont="1" applyFill="1" applyBorder="1" applyAlignment="1">
      <alignment horizontal="center"/>
    </xf>
    <xf numFmtId="0" fontId="2" fillId="35" borderId="43" xfId="58" applyFont="1" applyFill="1" applyBorder="1" applyAlignment="1">
      <alignment horizontal="left"/>
      <protection/>
    </xf>
    <xf numFmtId="0" fontId="2" fillId="35" borderId="72" xfId="58" applyFont="1" applyFill="1" applyBorder="1" applyAlignment="1">
      <alignment horizontal="left"/>
      <protection/>
    </xf>
    <xf numFmtId="0" fontId="2" fillId="35" borderId="72" xfId="58" applyFont="1" applyFill="1" applyBorder="1" applyAlignment="1">
      <alignment horizontal="center"/>
      <protection/>
    </xf>
    <xf numFmtId="0" fontId="159" fillId="34" borderId="46" xfId="58" applyFont="1" applyFill="1" applyBorder="1" applyAlignment="1">
      <alignment horizontal="center"/>
      <protection/>
    </xf>
    <xf numFmtId="202" fontId="158" fillId="34" borderId="43" xfId="58" applyNumberFormat="1" applyFont="1" applyFill="1" applyBorder="1" applyAlignment="1">
      <alignment horizontal="center"/>
      <protection/>
    </xf>
    <xf numFmtId="3" fontId="158" fillId="34" borderId="43" xfId="58" applyNumberFormat="1" applyFont="1" applyFill="1" applyBorder="1" applyAlignment="1">
      <alignment horizontal="center"/>
      <protection/>
    </xf>
    <xf numFmtId="3" fontId="158" fillId="34" borderId="85" xfId="58" applyNumberFormat="1" applyFont="1" applyFill="1" applyBorder="1" applyAlignment="1">
      <alignment horizontal="center"/>
      <protection/>
    </xf>
    <xf numFmtId="3" fontId="158" fillId="34" borderId="10" xfId="58" applyNumberFormat="1" applyFont="1" applyFill="1" applyBorder="1" applyAlignment="1">
      <alignment horizontal="center"/>
      <protection/>
    </xf>
    <xf numFmtId="3" fontId="158" fillId="34" borderId="86" xfId="58" applyNumberFormat="1" applyFont="1" applyFill="1" applyBorder="1" applyAlignment="1">
      <alignment horizontal="center"/>
      <protection/>
    </xf>
    <xf numFmtId="202" fontId="2" fillId="35" borderId="43" xfId="58" applyNumberFormat="1" applyFont="1" applyFill="1" applyBorder="1" applyAlignment="1">
      <alignment horizontal="center"/>
      <protection/>
    </xf>
    <xf numFmtId="3" fontId="2" fillId="35" borderId="72" xfId="58" applyNumberFormat="1" applyFont="1" applyFill="1" applyBorder="1" applyAlignment="1">
      <alignment horizontal="center"/>
      <protection/>
    </xf>
    <xf numFmtId="3" fontId="2" fillId="35" borderId="10" xfId="58" applyNumberFormat="1" applyFont="1" applyFill="1" applyBorder="1" applyAlignment="1">
      <alignment horizontal="center"/>
      <protection/>
    </xf>
    <xf numFmtId="3" fontId="2" fillId="35" borderId="43" xfId="58" applyNumberFormat="1" applyFont="1" applyFill="1" applyBorder="1" applyAlignment="1">
      <alignment horizontal="center"/>
      <protection/>
    </xf>
    <xf numFmtId="0" fontId="0" fillId="27" borderId="33" xfId="58" applyFill="1" applyBorder="1" applyAlignment="1">
      <alignment horizontal="center"/>
      <protection/>
    </xf>
    <xf numFmtId="3" fontId="4" fillId="27" borderId="34" xfId="58" applyNumberFormat="1" applyFont="1" applyFill="1" applyBorder="1" applyAlignment="1">
      <alignment horizontal="center"/>
      <protection/>
    </xf>
    <xf numFmtId="3" fontId="0" fillId="27" borderId="91" xfId="58" applyNumberFormat="1" applyFill="1" applyBorder="1" applyAlignment="1">
      <alignment horizontal="center"/>
      <protection/>
    </xf>
    <xf numFmtId="3" fontId="0" fillId="27" borderId="35" xfId="58" applyNumberFormat="1" applyFill="1" applyBorder="1" applyAlignment="1">
      <alignment horizontal="center"/>
      <protection/>
    </xf>
    <xf numFmtId="3" fontId="0" fillId="27" borderId="92" xfId="58" applyNumberFormat="1" applyFill="1" applyBorder="1" applyAlignment="1">
      <alignment horizontal="center"/>
      <protection/>
    </xf>
    <xf numFmtId="202" fontId="2" fillId="35" borderId="34" xfId="58" applyNumberFormat="1" applyFont="1" applyFill="1" applyBorder="1" applyAlignment="1">
      <alignment horizontal="center"/>
      <protection/>
    </xf>
    <xf numFmtId="202" fontId="2" fillId="35" borderId="36" xfId="58" applyNumberFormat="1" applyFont="1" applyFill="1" applyBorder="1" applyAlignment="1">
      <alignment horizontal="center"/>
      <protection/>
    </xf>
    <xf numFmtId="3" fontId="2" fillId="35" borderId="35" xfId="58" applyNumberFormat="1" applyFont="1" applyFill="1" applyBorder="1" applyAlignment="1">
      <alignment horizontal="center"/>
      <protection/>
    </xf>
    <xf numFmtId="3" fontId="2" fillId="35" borderId="36" xfId="58" applyNumberFormat="1" applyFont="1" applyFill="1" applyBorder="1" applyAlignment="1">
      <alignment horizontal="center"/>
      <protection/>
    </xf>
    <xf numFmtId="0" fontId="0" fillId="7" borderId="23" xfId="58" applyFill="1" applyBorder="1" applyAlignment="1">
      <alignment horizontal="center"/>
      <protection/>
    </xf>
    <xf numFmtId="3" fontId="4" fillId="7" borderId="22" xfId="58" applyNumberFormat="1" applyFont="1" applyFill="1" applyBorder="1" applyAlignment="1">
      <alignment horizontal="center"/>
      <protection/>
    </xf>
    <xf numFmtId="3" fontId="0" fillId="7" borderId="20" xfId="58" applyNumberFormat="1" applyFill="1" applyBorder="1" applyAlignment="1">
      <alignment horizontal="center"/>
      <protection/>
    </xf>
    <xf numFmtId="3" fontId="0" fillId="7" borderId="12" xfId="58" applyNumberFormat="1" applyFill="1" applyBorder="1" applyAlignment="1">
      <alignment horizontal="center"/>
      <protection/>
    </xf>
    <xf numFmtId="3" fontId="0" fillId="7" borderId="24" xfId="58" applyNumberFormat="1" applyFill="1" applyBorder="1" applyAlignment="1">
      <alignment horizontal="center"/>
      <protection/>
    </xf>
    <xf numFmtId="3" fontId="4" fillId="26" borderId="22" xfId="58" applyNumberFormat="1" applyFont="1" applyFill="1" applyBorder="1" applyAlignment="1">
      <alignment horizontal="center"/>
      <protection/>
    </xf>
    <xf numFmtId="3" fontId="0" fillId="26" borderId="35" xfId="58" applyNumberFormat="1" applyFill="1" applyBorder="1" applyAlignment="1">
      <alignment horizontal="center"/>
      <protection/>
    </xf>
    <xf numFmtId="0" fontId="0" fillId="27" borderId="23" xfId="58" applyFill="1" applyBorder="1" applyAlignment="1">
      <alignment horizontal="center"/>
      <protection/>
    </xf>
    <xf numFmtId="3" fontId="4" fillId="27" borderId="22" xfId="58" applyNumberFormat="1" applyFont="1" applyFill="1" applyBorder="1" applyAlignment="1">
      <alignment horizontal="center"/>
      <protection/>
    </xf>
    <xf numFmtId="3" fontId="0" fillId="27" borderId="20" xfId="58" applyNumberFormat="1" applyFill="1" applyBorder="1" applyAlignment="1">
      <alignment horizontal="center"/>
      <protection/>
    </xf>
    <xf numFmtId="3" fontId="0" fillId="27" borderId="12" xfId="58" applyNumberFormat="1" applyFill="1" applyBorder="1" applyAlignment="1">
      <alignment horizontal="center"/>
      <protection/>
    </xf>
    <xf numFmtId="3" fontId="0" fillId="27" borderId="24" xfId="58" applyNumberFormat="1" applyFill="1" applyBorder="1" applyAlignment="1">
      <alignment horizontal="center"/>
      <protection/>
    </xf>
    <xf numFmtId="0" fontId="0" fillId="27" borderId="23" xfId="58" applyFont="1" applyFill="1" applyBorder="1" applyAlignment="1">
      <alignment horizontal="center"/>
      <protection/>
    </xf>
    <xf numFmtId="0" fontId="0" fillId="0" borderId="40" xfId="58" applyFill="1" applyBorder="1" applyAlignment="1">
      <alignment horizontal="center"/>
      <protection/>
    </xf>
    <xf numFmtId="3" fontId="4" fillId="0" borderId="58" xfId="58" applyNumberFormat="1" applyFont="1" applyFill="1" applyBorder="1" applyAlignment="1">
      <alignment horizontal="center"/>
      <protection/>
    </xf>
    <xf numFmtId="3" fontId="0" fillId="0" borderId="58" xfId="58" applyNumberFormat="1" applyFill="1" applyBorder="1" applyAlignment="1">
      <alignment horizontal="center"/>
      <protection/>
    </xf>
    <xf numFmtId="3" fontId="0" fillId="0" borderId="13" xfId="58" applyNumberFormat="1" applyFill="1" applyBorder="1" applyAlignment="1">
      <alignment horizontal="center"/>
      <protection/>
    </xf>
    <xf numFmtId="3" fontId="0" fillId="0" borderId="49" xfId="58" applyNumberFormat="1" applyFill="1" applyBorder="1" applyAlignment="1">
      <alignment horizontal="center"/>
      <protection/>
    </xf>
    <xf numFmtId="3" fontId="4" fillId="26" borderId="0" xfId="58" applyNumberFormat="1" applyFont="1" applyFill="1" applyBorder="1" applyAlignment="1">
      <alignment horizontal="center"/>
      <protection/>
    </xf>
    <xf numFmtId="3" fontId="0" fillId="26" borderId="0" xfId="58" applyNumberFormat="1" applyFill="1" applyBorder="1" applyAlignment="1">
      <alignment horizontal="center"/>
      <protection/>
    </xf>
    <xf numFmtId="0" fontId="6" fillId="0" borderId="56" xfId="58" applyFont="1" applyFill="1" applyBorder="1">
      <alignment/>
      <protection/>
    </xf>
    <xf numFmtId="9" fontId="4" fillId="27" borderId="26" xfId="68" applyFont="1" applyFill="1" applyBorder="1" applyAlignment="1">
      <alignment horizontal="center"/>
    </xf>
    <xf numFmtId="9" fontId="4" fillId="27" borderId="28" xfId="68" applyFont="1" applyFill="1" applyBorder="1" applyAlignment="1">
      <alignment horizontal="center"/>
    </xf>
    <xf numFmtId="0" fontId="6" fillId="7" borderId="146" xfId="58" applyFont="1" applyFill="1" applyBorder="1">
      <alignment/>
      <protection/>
    </xf>
    <xf numFmtId="9" fontId="4" fillId="7" borderId="22" xfId="68" applyFont="1" applyFill="1" applyBorder="1" applyAlignment="1">
      <alignment horizontal="center"/>
    </xf>
    <xf numFmtId="9" fontId="4" fillId="7" borderId="23" xfId="68" applyFont="1" applyFill="1" applyBorder="1" applyAlignment="1">
      <alignment horizontal="center"/>
    </xf>
    <xf numFmtId="0" fontId="6" fillId="0" borderId="61" xfId="58" applyFont="1" applyFill="1" applyBorder="1">
      <alignment/>
      <protection/>
    </xf>
    <xf numFmtId="9" fontId="4" fillId="27" borderId="22" xfId="68" applyFont="1" applyFill="1" applyBorder="1" applyAlignment="1">
      <alignment horizontal="center"/>
    </xf>
    <xf numFmtId="9" fontId="4" fillId="27" borderId="23" xfId="68" applyFont="1" applyFill="1" applyBorder="1" applyAlignment="1">
      <alignment horizontal="center"/>
    </xf>
    <xf numFmtId="0" fontId="6" fillId="7" borderId="21" xfId="58" applyFont="1" applyFill="1" applyBorder="1">
      <alignment/>
      <protection/>
    </xf>
    <xf numFmtId="9" fontId="4" fillId="7" borderId="58" xfId="68" applyFont="1" applyFill="1" applyBorder="1" applyAlignment="1">
      <alignment horizontal="center"/>
    </xf>
    <xf numFmtId="9" fontId="4" fillId="7" borderId="40" xfId="68" applyFont="1" applyFill="1" applyBorder="1" applyAlignment="1">
      <alignment horizontal="center"/>
    </xf>
    <xf numFmtId="0" fontId="6" fillId="0" borderId="0" xfId="58" applyFont="1" applyFill="1" applyBorder="1">
      <alignment/>
      <protection/>
    </xf>
    <xf numFmtId="9" fontId="4" fillId="0" borderId="0" xfId="68" applyFont="1" applyFill="1" applyBorder="1" applyAlignment="1">
      <alignment horizontal="center"/>
    </xf>
    <xf numFmtId="0" fontId="45" fillId="0" borderId="0" xfId="58" applyFont="1">
      <alignment/>
      <protection/>
    </xf>
    <xf numFmtId="0" fontId="46" fillId="0" borderId="0" xfId="58" applyFont="1">
      <alignment/>
      <protection/>
    </xf>
    <xf numFmtId="0" fontId="47" fillId="0" borderId="0" xfId="58" applyFont="1">
      <alignment/>
      <protection/>
    </xf>
    <xf numFmtId="201" fontId="158" fillId="34" borderId="28" xfId="0" applyNumberFormat="1" applyFont="1" applyFill="1" applyBorder="1" applyAlignment="1">
      <alignment horizontal="center"/>
    </xf>
    <xf numFmtId="201" fontId="158" fillId="34" borderId="151" xfId="0" applyNumberFormat="1" applyFont="1" applyFill="1" applyBorder="1" applyAlignment="1">
      <alignment horizontal="center"/>
    </xf>
    <xf numFmtId="201" fontId="158" fillId="34" borderId="14" xfId="0" applyNumberFormat="1" applyFont="1" applyFill="1" applyBorder="1" applyAlignment="1">
      <alignment horizontal="centerContinuous"/>
    </xf>
    <xf numFmtId="201" fontId="158" fillId="34" borderId="41" xfId="0" applyNumberFormat="1" applyFont="1" applyFill="1" applyBorder="1" applyAlignment="1">
      <alignment horizontal="centerContinuous"/>
    </xf>
    <xf numFmtId="201" fontId="159" fillId="34" borderId="41" xfId="0" applyNumberFormat="1" applyFont="1" applyFill="1" applyBorder="1" applyAlignment="1">
      <alignment horizontal="centerContinuous"/>
    </xf>
    <xf numFmtId="201" fontId="159" fillId="34" borderId="29" xfId="0" applyNumberFormat="1" applyFont="1" applyFill="1" applyBorder="1" applyAlignment="1">
      <alignment horizontal="centerContinuous"/>
    </xf>
    <xf numFmtId="201" fontId="159" fillId="34" borderId="84" xfId="0" applyNumberFormat="1" applyFont="1" applyFill="1" applyBorder="1" applyAlignment="1">
      <alignment horizontal="centerContinuous"/>
    </xf>
    <xf numFmtId="201" fontId="158" fillId="34" borderId="40" xfId="0" applyNumberFormat="1" applyFont="1" applyFill="1" applyBorder="1" applyAlignment="1">
      <alignment horizontal="center"/>
    </xf>
    <xf numFmtId="201" fontId="158" fillId="34" borderId="50" xfId="0" applyNumberFormat="1" applyFont="1" applyFill="1" applyBorder="1" applyAlignment="1">
      <alignment horizontal="center"/>
    </xf>
    <xf numFmtId="201" fontId="172" fillId="34" borderId="81" xfId="0" applyNumberFormat="1" applyFont="1" applyFill="1" applyBorder="1" applyAlignment="1">
      <alignment/>
    </xf>
    <xf numFmtId="201" fontId="172" fillId="34" borderId="42" xfId="0" applyNumberFormat="1" applyFont="1" applyFill="1" applyBorder="1" applyAlignment="1">
      <alignment horizontal="center"/>
    </xf>
    <xf numFmtId="201" fontId="173" fillId="34" borderId="81" xfId="0" applyNumberFormat="1" applyFont="1" applyFill="1" applyBorder="1" applyAlignment="1">
      <alignment horizontal="center"/>
    </xf>
    <xf numFmtId="201" fontId="172" fillId="34" borderId="73" xfId="0" applyNumberFormat="1" applyFont="1" applyFill="1" applyBorder="1" applyAlignment="1">
      <alignment horizontal="center"/>
    </xf>
    <xf numFmtId="201" fontId="172" fillId="34" borderId="95" xfId="0" applyNumberFormat="1" applyFont="1" applyFill="1" applyBorder="1" applyAlignment="1">
      <alignment horizontal="center"/>
    </xf>
    <xf numFmtId="201" fontId="158" fillId="34" borderId="28" xfId="58" applyNumberFormat="1" applyFont="1" applyFill="1" applyBorder="1" applyAlignment="1">
      <alignment horizontal="center"/>
      <protection/>
    </xf>
    <xf numFmtId="201" fontId="158" fillId="34" borderId="151" xfId="58" applyNumberFormat="1" applyFont="1" applyFill="1" applyBorder="1" applyAlignment="1">
      <alignment horizontal="center"/>
      <protection/>
    </xf>
    <xf numFmtId="201" fontId="158" fillId="34" borderId="14" xfId="58" applyNumberFormat="1" applyFont="1" applyFill="1" applyBorder="1" applyAlignment="1">
      <alignment horizontal="centerContinuous"/>
      <protection/>
    </xf>
    <xf numFmtId="201" fontId="158" fillId="34" borderId="41" xfId="58" applyNumberFormat="1" applyFont="1" applyFill="1" applyBorder="1" applyAlignment="1">
      <alignment horizontal="centerContinuous"/>
      <protection/>
    </xf>
    <xf numFmtId="201" fontId="159" fillId="34" borderId="41" xfId="58" applyNumberFormat="1" applyFont="1" applyFill="1" applyBorder="1" applyAlignment="1">
      <alignment horizontal="centerContinuous"/>
      <protection/>
    </xf>
    <xf numFmtId="201" fontId="159" fillId="34" borderId="29" xfId="58" applyNumberFormat="1" applyFont="1" applyFill="1" applyBorder="1" applyAlignment="1">
      <alignment horizontal="centerContinuous"/>
      <protection/>
    </xf>
    <xf numFmtId="201" fontId="159" fillId="34" borderId="84" xfId="58" applyNumberFormat="1" applyFont="1" applyFill="1" applyBorder="1" applyAlignment="1">
      <alignment horizontal="centerContinuous"/>
      <protection/>
    </xf>
    <xf numFmtId="201" fontId="158" fillId="34" borderId="40" xfId="58" applyNumberFormat="1" applyFont="1" applyFill="1" applyBorder="1" applyAlignment="1">
      <alignment horizontal="center"/>
      <protection/>
    </xf>
    <xf numFmtId="201" fontId="158" fillId="34" borderId="50" xfId="58" applyNumberFormat="1" applyFont="1" applyFill="1" applyBorder="1" applyAlignment="1">
      <alignment horizontal="center"/>
      <protection/>
    </xf>
    <xf numFmtId="201" fontId="172" fillId="34" borderId="81" xfId="58" applyNumberFormat="1" applyFont="1" applyFill="1" applyBorder="1" applyAlignment="1">
      <alignment/>
      <protection/>
    </xf>
    <xf numFmtId="201" fontId="172" fillId="34" borderId="42" xfId="58" applyNumberFormat="1" applyFont="1" applyFill="1" applyBorder="1" applyAlignment="1">
      <alignment horizontal="center"/>
      <protection/>
    </xf>
    <xf numFmtId="201" fontId="173" fillId="34" borderId="81" xfId="58" applyNumberFormat="1" applyFont="1" applyFill="1" applyBorder="1" applyAlignment="1">
      <alignment horizontal="center"/>
      <protection/>
    </xf>
    <xf numFmtId="201" fontId="172" fillId="34" borderId="73" xfId="58" applyNumberFormat="1" applyFont="1" applyFill="1" applyBorder="1" applyAlignment="1">
      <alignment horizontal="center"/>
      <protection/>
    </xf>
    <xf numFmtId="201" fontId="172" fillId="34" borderId="95" xfId="58" applyNumberFormat="1" applyFont="1" applyFill="1" applyBorder="1" applyAlignment="1">
      <alignment horizontal="center"/>
      <protection/>
    </xf>
    <xf numFmtId="0" fontId="158" fillId="34" borderId="152" xfId="58" applyFont="1" applyFill="1" applyBorder="1" applyAlignment="1">
      <alignment horizontal="center"/>
      <protection/>
    </xf>
    <xf numFmtId="0" fontId="158" fillId="34" borderId="131" xfId="58" applyFont="1" applyFill="1" applyBorder="1" applyAlignment="1">
      <alignment horizontal="center"/>
      <protection/>
    </xf>
    <xf numFmtId="0" fontId="158" fillId="34" borderId="132" xfId="58" applyFont="1" applyFill="1" applyBorder="1" applyAlignment="1">
      <alignment horizontal="center"/>
      <protection/>
    </xf>
    <xf numFmtId="0" fontId="172" fillId="34" borderId="45" xfId="58" applyFont="1" applyFill="1" applyBorder="1" applyAlignment="1">
      <alignment horizontal="center"/>
      <protection/>
    </xf>
    <xf numFmtId="0" fontId="172" fillId="34" borderId="12" xfId="58" applyFont="1" applyFill="1" applyBorder="1" applyAlignment="1">
      <alignment horizontal="center"/>
      <protection/>
    </xf>
    <xf numFmtId="0" fontId="172" fillId="34" borderId="11" xfId="58" applyFont="1" applyFill="1" applyBorder="1" applyAlignment="1">
      <alignment horizontal="center"/>
      <protection/>
    </xf>
    <xf numFmtId="0" fontId="158" fillId="34" borderId="91" xfId="58" applyFont="1" applyFill="1" applyBorder="1" applyAlignment="1">
      <alignment horizontal="center"/>
      <protection/>
    </xf>
    <xf numFmtId="0" fontId="172" fillId="34" borderId="36" xfId="58" applyFont="1" applyFill="1" applyBorder="1" applyAlignment="1">
      <alignment horizontal="center"/>
      <protection/>
    </xf>
    <xf numFmtId="0" fontId="172" fillId="34" borderId="35" xfId="58" applyFont="1" applyFill="1" applyBorder="1" applyAlignment="1">
      <alignment horizontal="center"/>
      <protection/>
    </xf>
    <xf numFmtId="0" fontId="172" fillId="34" borderId="37" xfId="58" applyFont="1" applyFill="1" applyBorder="1" applyAlignment="1">
      <alignment horizontal="center"/>
      <protection/>
    </xf>
    <xf numFmtId="0" fontId="172" fillId="34" borderId="59" xfId="58" applyFont="1" applyFill="1" applyBorder="1" applyAlignment="1">
      <alignment horizontal="center"/>
      <protection/>
    </xf>
    <xf numFmtId="0" fontId="158" fillId="34" borderId="153" xfId="58" applyFont="1" applyFill="1" applyBorder="1" applyAlignment="1">
      <alignment horizontal="center"/>
      <protection/>
    </xf>
    <xf numFmtId="0" fontId="159" fillId="34" borderId="154" xfId="58" applyFont="1" applyFill="1" applyBorder="1" applyAlignment="1">
      <alignment horizontal="center"/>
      <protection/>
    </xf>
    <xf numFmtId="202" fontId="158" fillId="34" borderId="32" xfId="58" applyNumberFormat="1" applyFont="1" applyFill="1" applyBorder="1" applyAlignment="1">
      <alignment horizontal="center"/>
      <protection/>
    </xf>
    <xf numFmtId="202" fontId="158" fillId="34" borderId="63" xfId="58" applyNumberFormat="1" applyFont="1" applyFill="1" applyBorder="1" applyAlignment="1">
      <alignment horizontal="center"/>
      <protection/>
    </xf>
    <xf numFmtId="202" fontId="158" fillId="34" borderId="65" xfId="58" applyNumberFormat="1" applyFont="1" applyFill="1" applyBorder="1" applyAlignment="1">
      <alignment horizontal="center"/>
      <protection/>
    </xf>
    <xf numFmtId="202" fontId="158" fillId="34" borderId="155" xfId="58" applyNumberFormat="1" applyFont="1" applyFill="1" applyBorder="1" applyAlignment="1">
      <alignment horizontal="center"/>
      <protection/>
    </xf>
    <xf numFmtId="202" fontId="159" fillId="34" borderId="64" xfId="58" applyNumberFormat="1" applyFont="1" applyFill="1" applyBorder="1">
      <alignment/>
      <protection/>
    </xf>
    <xf numFmtId="202" fontId="159" fillId="34" borderId="63" xfId="58" applyNumberFormat="1" applyFont="1" applyFill="1" applyBorder="1">
      <alignment/>
      <protection/>
    </xf>
    <xf numFmtId="202" fontId="159" fillId="34" borderId="155" xfId="58" applyNumberFormat="1" applyFont="1" applyFill="1" applyBorder="1">
      <alignment/>
      <protection/>
    </xf>
    <xf numFmtId="202" fontId="159" fillId="34" borderId="65" xfId="58" applyNumberFormat="1" applyFont="1" applyFill="1" applyBorder="1">
      <alignment/>
      <protection/>
    </xf>
    <xf numFmtId="202" fontId="159" fillId="34" borderId="32" xfId="58" applyNumberFormat="1" applyFont="1" applyFill="1" applyBorder="1">
      <alignment/>
      <protection/>
    </xf>
    <xf numFmtId="0" fontId="174" fillId="29" borderId="85" xfId="58" applyFont="1" applyFill="1" applyBorder="1" applyAlignment="1">
      <alignment horizontal="center"/>
      <protection/>
    </xf>
    <xf numFmtId="0" fontId="174" fillId="29" borderId="30" xfId="58" applyFont="1" applyFill="1" applyBorder="1">
      <alignment/>
      <protection/>
    </xf>
    <xf numFmtId="3" fontId="170" fillId="29" borderId="10" xfId="58" applyNumberFormat="1" applyFont="1" applyFill="1" applyBorder="1">
      <alignment/>
      <protection/>
    </xf>
    <xf numFmtId="3" fontId="174" fillId="29" borderId="10" xfId="58" applyNumberFormat="1" applyFont="1" applyFill="1" applyBorder="1">
      <alignment/>
      <protection/>
    </xf>
    <xf numFmtId="3" fontId="174" fillId="29" borderId="30" xfId="58" applyNumberFormat="1" applyFont="1" applyFill="1" applyBorder="1">
      <alignment/>
      <protection/>
    </xf>
    <xf numFmtId="3" fontId="175" fillId="29" borderId="86" xfId="58" applyNumberFormat="1" applyFont="1" applyFill="1" applyBorder="1">
      <alignment/>
      <protection/>
    </xf>
    <xf numFmtId="3" fontId="170" fillId="29" borderId="0" xfId="58" applyNumberFormat="1" applyFont="1" applyFill="1" applyBorder="1">
      <alignment/>
      <protection/>
    </xf>
    <xf numFmtId="0" fontId="170" fillId="29" borderId="0" xfId="58" applyFont="1" applyFill="1" applyBorder="1">
      <alignment/>
      <protection/>
    </xf>
    <xf numFmtId="0" fontId="2" fillId="34" borderId="10" xfId="58" applyFont="1" applyFill="1" applyBorder="1">
      <alignment/>
      <protection/>
    </xf>
    <xf numFmtId="0" fontId="2" fillId="34" borderId="10" xfId="58" applyFont="1" applyFill="1" applyBorder="1" applyAlignment="1">
      <alignment horizontal="center"/>
      <protection/>
    </xf>
    <xf numFmtId="0" fontId="2" fillId="34" borderId="35" xfId="58" applyFont="1" applyFill="1" applyBorder="1" applyAlignment="1">
      <alignment horizontal="right"/>
      <protection/>
    </xf>
    <xf numFmtId="0" fontId="2" fillId="34" borderId="35" xfId="58" applyFont="1" applyFill="1" applyBorder="1" applyAlignment="1">
      <alignment horizontal="center"/>
      <protection/>
    </xf>
    <xf numFmtId="0" fontId="176" fillId="34" borderId="96" xfId="58" applyFont="1" applyFill="1" applyBorder="1" applyAlignment="1">
      <alignment horizontal="center"/>
      <protection/>
    </xf>
    <xf numFmtId="0" fontId="176" fillId="34" borderId="93" xfId="58" applyFont="1" applyFill="1" applyBorder="1">
      <alignment/>
      <protection/>
    </xf>
    <xf numFmtId="0" fontId="177" fillId="34" borderId="87" xfId="58" applyFont="1" applyFill="1" applyBorder="1" applyAlignment="1">
      <alignment horizontal="center"/>
      <protection/>
    </xf>
    <xf numFmtId="0" fontId="177" fillId="34" borderId="88" xfId="58" applyFont="1" applyFill="1" applyBorder="1" applyAlignment="1">
      <alignment horizontal="center"/>
      <protection/>
    </xf>
    <xf numFmtId="0" fontId="177" fillId="34" borderId="109" xfId="58" applyFont="1" applyFill="1" applyBorder="1" applyAlignment="1">
      <alignment horizontal="center"/>
      <protection/>
    </xf>
    <xf numFmtId="0" fontId="158" fillId="34" borderId="156" xfId="58" applyFont="1" applyFill="1" applyBorder="1" applyAlignment="1">
      <alignment horizontal="center"/>
      <protection/>
    </xf>
    <xf numFmtId="0" fontId="176" fillId="34" borderId="157" xfId="58" applyFont="1" applyFill="1" applyBorder="1" applyAlignment="1">
      <alignment horizontal="center"/>
      <protection/>
    </xf>
    <xf numFmtId="0" fontId="176" fillId="34" borderId="158" xfId="58" applyFont="1" applyFill="1" applyBorder="1">
      <alignment/>
      <protection/>
    </xf>
    <xf numFmtId="0" fontId="2" fillId="34" borderId="26" xfId="59" applyFont="1" applyFill="1" applyBorder="1" applyAlignment="1">
      <alignment horizontal="center" vertical="center"/>
      <protection/>
    </xf>
    <xf numFmtId="202" fontId="0" fillId="0" borderId="0" xfId="59" applyNumberFormat="1" applyFont="1" applyFill="1" applyBorder="1" applyAlignment="1">
      <alignment horizontal="center" vertical="center"/>
      <protection/>
    </xf>
    <xf numFmtId="0" fontId="0" fillId="0" borderId="58" xfId="59" applyFont="1" applyFill="1" applyBorder="1" applyAlignment="1">
      <alignment horizontal="center"/>
      <protection/>
    </xf>
    <xf numFmtId="0" fontId="2" fillId="34" borderId="157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Continuous"/>
    </xf>
    <xf numFmtId="0" fontId="2" fillId="34" borderId="30" xfId="0" applyFont="1" applyFill="1" applyBorder="1" applyAlignment="1">
      <alignment horizontal="centerContinuous"/>
    </xf>
    <xf numFmtId="0" fontId="2" fillId="34" borderId="86" xfId="0" applyFont="1" applyFill="1" applyBorder="1" applyAlignment="1">
      <alignment horizontal="centerContinuous"/>
    </xf>
    <xf numFmtId="0" fontId="2" fillId="34" borderId="16" xfId="0" applyFont="1" applyFill="1" applyBorder="1" applyAlignment="1">
      <alignment horizontal="centerContinuous"/>
    </xf>
    <xf numFmtId="0" fontId="2" fillId="34" borderId="155" xfId="0" applyFont="1" applyFill="1" applyBorder="1" applyAlignment="1">
      <alignment/>
    </xf>
    <xf numFmtId="0" fontId="2" fillId="34" borderId="63" xfId="0" applyFont="1" applyFill="1" applyBorder="1" applyAlignment="1">
      <alignment horizontal="center"/>
    </xf>
    <xf numFmtId="0" fontId="2" fillId="34" borderId="65" xfId="0" applyFont="1" applyFill="1" applyBorder="1" applyAlignment="1">
      <alignment horizontal="center"/>
    </xf>
    <xf numFmtId="0" fontId="2" fillId="34" borderId="159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46" xfId="0" applyFont="1" applyFill="1" applyBorder="1" applyAlignment="1">
      <alignment/>
    </xf>
    <xf numFmtId="0" fontId="2" fillId="34" borderId="86" xfId="0" applyFont="1" applyFill="1" applyBorder="1" applyAlignment="1">
      <alignment horizontal="center"/>
    </xf>
    <xf numFmtId="202" fontId="0" fillId="0" borderId="16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02" fontId="0" fillId="0" borderId="13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 quotePrefix="1">
      <alignment/>
    </xf>
    <xf numFmtId="3" fontId="56" fillId="0" borderId="12" xfId="64" applyNumberFormat="1" applyFont="1" applyBorder="1" applyAlignment="1">
      <alignment horizontal="right" vertical="center"/>
      <protection/>
    </xf>
    <xf numFmtId="0" fontId="0" fillId="29" borderId="23" xfId="59" applyFont="1" applyFill="1" applyBorder="1" applyAlignment="1">
      <alignment horizontal="center"/>
      <protection/>
    </xf>
    <xf numFmtId="202" fontId="4" fillId="29" borderId="22" xfId="59" applyNumberFormat="1" applyFont="1" applyFill="1" applyBorder="1">
      <alignment/>
      <protection/>
    </xf>
    <xf numFmtId="202" fontId="0" fillId="29" borderId="12" xfId="59" applyNumberFormat="1" applyFont="1" applyFill="1" applyBorder="1">
      <alignment/>
      <protection/>
    </xf>
    <xf numFmtId="202" fontId="0" fillId="29" borderId="25" xfId="59" applyNumberFormat="1" applyFont="1" applyFill="1" applyBorder="1">
      <alignment/>
      <protection/>
    </xf>
    <xf numFmtId="202" fontId="0" fillId="29" borderId="0" xfId="59" applyNumberFormat="1" applyFont="1" applyFill="1" applyBorder="1">
      <alignment/>
      <protection/>
    </xf>
    <xf numFmtId="202" fontId="0" fillId="29" borderId="45" xfId="59" applyNumberFormat="1" applyFont="1" applyFill="1" applyBorder="1">
      <alignment/>
      <protection/>
    </xf>
    <xf numFmtId="202" fontId="0" fillId="29" borderId="11" xfId="59" applyNumberFormat="1" applyFont="1" applyFill="1" applyBorder="1">
      <alignment/>
      <protection/>
    </xf>
    <xf numFmtId="201" fontId="0" fillId="29" borderId="12" xfId="59" applyNumberFormat="1" applyFont="1" applyFill="1" applyBorder="1">
      <alignment/>
      <protection/>
    </xf>
    <xf numFmtId="0" fontId="0" fillId="36" borderId="23" xfId="59" applyFont="1" applyFill="1" applyBorder="1" applyAlignment="1">
      <alignment horizontal="center"/>
      <protection/>
    </xf>
    <xf numFmtId="202" fontId="4" fillId="36" borderId="22" xfId="59" applyNumberFormat="1" applyFont="1" applyFill="1" applyBorder="1">
      <alignment/>
      <protection/>
    </xf>
    <xf numFmtId="202" fontId="0" fillId="36" borderId="12" xfId="59" applyNumberFormat="1" applyFont="1" applyFill="1" applyBorder="1">
      <alignment/>
      <protection/>
    </xf>
    <xf numFmtId="202" fontId="0" fillId="36" borderId="25" xfId="59" applyNumberFormat="1" applyFont="1" applyFill="1" applyBorder="1">
      <alignment/>
      <protection/>
    </xf>
    <xf numFmtId="202" fontId="0" fillId="36" borderId="0" xfId="59" applyNumberFormat="1" applyFont="1" applyFill="1" applyBorder="1">
      <alignment/>
      <protection/>
    </xf>
    <xf numFmtId="202" fontId="0" fillId="36" borderId="45" xfId="59" applyNumberFormat="1" applyFont="1" applyFill="1" applyBorder="1">
      <alignment/>
      <protection/>
    </xf>
    <xf numFmtId="202" fontId="0" fillId="36" borderId="11" xfId="59" applyNumberFormat="1" applyFont="1" applyFill="1" applyBorder="1">
      <alignment/>
      <protection/>
    </xf>
    <xf numFmtId="201" fontId="0" fillId="36" borderId="12" xfId="59" applyNumberFormat="1" applyFont="1" applyFill="1" applyBorder="1">
      <alignment/>
      <protection/>
    </xf>
    <xf numFmtId="0" fontId="0" fillId="29" borderId="23" xfId="0" applyFill="1" applyBorder="1" applyAlignment="1">
      <alignment horizontal="center"/>
    </xf>
    <xf numFmtId="202" fontId="4" fillId="29" borderId="22" xfId="0" applyNumberFormat="1" applyFont="1" applyFill="1" applyBorder="1" applyAlignment="1">
      <alignment horizontal="center"/>
    </xf>
    <xf numFmtId="202" fontId="0" fillId="29" borderId="12" xfId="0" applyNumberFormat="1" applyFill="1" applyBorder="1" applyAlignment="1">
      <alignment horizontal="center"/>
    </xf>
    <xf numFmtId="202" fontId="0" fillId="29" borderId="0" xfId="0" applyNumberFormat="1" applyFill="1" applyBorder="1" applyAlignment="1">
      <alignment horizontal="center"/>
    </xf>
    <xf numFmtId="202" fontId="0" fillId="29" borderId="22" xfId="0" applyNumberFormat="1" applyFill="1" applyBorder="1" applyAlignment="1">
      <alignment horizontal="center"/>
    </xf>
    <xf numFmtId="202" fontId="0" fillId="29" borderId="20" xfId="0" applyNumberFormat="1" applyFill="1" applyBorder="1" applyAlignment="1">
      <alignment horizontal="center"/>
    </xf>
    <xf numFmtId="202" fontId="0" fillId="29" borderId="11" xfId="0" applyNumberFormat="1" applyFill="1" applyBorder="1" applyAlignment="1">
      <alignment horizontal="center"/>
    </xf>
    <xf numFmtId="201" fontId="0" fillId="29" borderId="12" xfId="0" applyNumberFormat="1" applyFill="1" applyBorder="1" applyAlignment="1">
      <alignment horizontal="center"/>
    </xf>
    <xf numFmtId="202" fontId="0" fillId="29" borderId="25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114" xfId="0" applyFont="1" applyBorder="1" applyAlignment="1">
      <alignment/>
    </xf>
    <xf numFmtId="202" fontId="0" fillId="0" borderId="24" xfId="0" applyNumberFormat="1" applyFill="1" applyBorder="1" applyAlignment="1">
      <alignment vertical="center"/>
    </xf>
    <xf numFmtId="0" fontId="0" fillId="0" borderId="40" xfId="0" applyNumberFormat="1" applyFill="1" applyBorder="1" applyAlignment="1">
      <alignment horizontal="center" vertical="center"/>
    </xf>
    <xf numFmtId="202" fontId="0" fillId="0" borderId="58" xfId="0" applyNumberFormat="1" applyFill="1" applyBorder="1" applyAlignment="1">
      <alignment vertical="center"/>
    </xf>
    <xf numFmtId="202" fontId="0" fillId="0" borderId="48" xfId="0" applyNumberFormat="1" applyFill="1" applyBorder="1" applyAlignment="1">
      <alignment vertical="center"/>
    </xf>
    <xf numFmtId="202" fontId="0" fillId="0" borderId="49" xfId="0" applyNumberFormat="1" applyFill="1" applyBorder="1" applyAlignment="1">
      <alignment vertical="center"/>
    </xf>
    <xf numFmtId="0" fontId="0" fillId="0" borderId="0" xfId="0" applyBorder="1" applyAlignment="1">
      <alignment horizontal="right"/>
    </xf>
    <xf numFmtId="198" fontId="6" fillId="0" borderId="15" xfId="73" applyNumberFormat="1" applyFont="1" applyFill="1" applyBorder="1" applyAlignment="1">
      <alignment horizontal="center" vertical="center"/>
    </xf>
    <xf numFmtId="198" fontId="6" fillId="0" borderId="17" xfId="73" applyNumberFormat="1" applyFont="1" applyFill="1" applyBorder="1" applyAlignment="1">
      <alignment horizontal="center" vertical="center"/>
    </xf>
    <xf numFmtId="0" fontId="0" fillId="29" borderId="23" xfId="0" applyNumberFormat="1" applyFill="1" applyBorder="1" applyAlignment="1">
      <alignment horizontal="center" vertical="center"/>
    </xf>
    <xf numFmtId="9" fontId="6" fillId="0" borderId="28" xfId="73" applyFont="1" applyFill="1" applyBorder="1" applyAlignment="1">
      <alignment horizontal="center"/>
    </xf>
    <xf numFmtId="9" fontId="6" fillId="0" borderId="17" xfId="7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0" fillId="0" borderId="121" xfId="0" applyNumberFormat="1" applyFill="1" applyBorder="1" applyAlignment="1">
      <alignment horizontal="right" vertical="center" indent="1"/>
    </xf>
    <xf numFmtId="3" fontId="0" fillId="0" borderId="161" xfId="59" applyNumberFormat="1" applyFont="1" applyFill="1" applyBorder="1" applyAlignment="1">
      <alignment horizontal="center"/>
      <protection/>
    </xf>
    <xf numFmtId="3" fontId="0" fillId="0" borderId="161" xfId="59" applyNumberFormat="1" applyFont="1" applyFill="1" applyBorder="1">
      <alignment/>
      <protection/>
    </xf>
    <xf numFmtId="3" fontId="0" fillId="0" borderId="115" xfId="59" applyNumberFormat="1" applyFont="1" applyFill="1" applyBorder="1">
      <alignment/>
      <protection/>
    </xf>
    <xf numFmtId="0" fontId="158" fillId="34" borderId="34" xfId="0" applyFont="1" applyFill="1" applyBorder="1" applyAlignment="1">
      <alignment horizontal="center"/>
    </xf>
    <xf numFmtId="0" fontId="172" fillId="34" borderId="35" xfId="0" applyFont="1" applyFill="1" applyBorder="1" applyAlignment="1">
      <alignment horizontal="center"/>
    </xf>
    <xf numFmtId="0" fontId="172" fillId="34" borderId="36" xfId="0" applyFont="1" applyFill="1" applyBorder="1" applyAlignment="1">
      <alignment horizontal="center"/>
    </xf>
    <xf numFmtId="0" fontId="172" fillId="34" borderId="34" xfId="0" applyFont="1" applyFill="1" applyBorder="1" applyAlignment="1">
      <alignment horizontal="center"/>
    </xf>
    <xf numFmtId="0" fontId="172" fillId="34" borderId="91" xfId="0" applyFont="1" applyFill="1" applyBorder="1" applyAlignment="1">
      <alignment horizontal="center"/>
    </xf>
    <xf numFmtId="0" fontId="172" fillId="34" borderId="37" xfId="0" applyFont="1" applyFill="1" applyBorder="1" applyAlignment="1">
      <alignment horizontal="center"/>
    </xf>
    <xf numFmtId="0" fontId="172" fillId="34" borderId="38" xfId="0" applyFont="1" applyFill="1" applyBorder="1" applyAlignment="1">
      <alignment horizontal="center"/>
    </xf>
    <xf numFmtId="0" fontId="159" fillId="34" borderId="31" xfId="0" applyFont="1" applyFill="1" applyBorder="1" applyAlignment="1">
      <alignment horizontal="center"/>
    </xf>
    <xf numFmtId="202" fontId="158" fillId="34" borderId="46" xfId="0" applyNumberFormat="1" applyFont="1" applyFill="1" applyBorder="1" applyAlignment="1">
      <alignment/>
    </xf>
    <xf numFmtId="202" fontId="159" fillId="34" borderId="63" xfId="0" applyNumberFormat="1" applyFont="1" applyFill="1" applyBorder="1" applyAlignment="1">
      <alignment/>
    </xf>
    <xf numFmtId="202" fontId="159" fillId="34" borderId="64" xfId="0" applyNumberFormat="1" applyFont="1" applyFill="1" applyBorder="1" applyAlignment="1">
      <alignment/>
    </xf>
    <xf numFmtId="202" fontId="159" fillId="34" borderId="46" xfId="0" applyNumberFormat="1" applyFont="1" applyFill="1" applyBorder="1" applyAlignment="1">
      <alignment/>
    </xf>
    <xf numFmtId="202" fontId="159" fillId="34" borderId="155" xfId="0" applyNumberFormat="1" applyFont="1" applyFill="1" applyBorder="1" applyAlignment="1">
      <alignment/>
    </xf>
    <xf numFmtId="202" fontId="159" fillId="34" borderId="65" xfId="0" applyNumberFormat="1" applyFont="1" applyFill="1" applyBorder="1" applyAlignment="1">
      <alignment/>
    </xf>
    <xf numFmtId="202" fontId="159" fillId="34" borderId="66" xfId="0" applyNumberFormat="1" applyFont="1" applyFill="1" applyBorder="1" applyAlignment="1">
      <alignment/>
    </xf>
    <xf numFmtId="0" fontId="2" fillId="34" borderId="3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202" fontId="4" fillId="34" borderId="46" xfId="0" applyNumberFormat="1" applyFont="1" applyFill="1" applyBorder="1" applyAlignment="1">
      <alignment/>
    </xf>
    <xf numFmtId="202" fontId="0" fillId="34" borderId="63" xfId="0" applyNumberFormat="1" applyFill="1" applyBorder="1" applyAlignment="1">
      <alignment/>
    </xf>
    <xf numFmtId="202" fontId="0" fillId="34" borderId="64" xfId="0" applyNumberFormat="1" applyFill="1" applyBorder="1" applyAlignment="1">
      <alignment/>
    </xf>
    <xf numFmtId="202" fontId="0" fillId="34" borderId="46" xfId="0" applyNumberFormat="1" applyFill="1" applyBorder="1" applyAlignment="1">
      <alignment/>
    </xf>
    <xf numFmtId="202" fontId="0" fillId="34" borderId="65" xfId="0" applyNumberFormat="1" applyFill="1" applyBorder="1" applyAlignment="1">
      <alignment/>
    </xf>
    <xf numFmtId="202" fontId="0" fillId="34" borderId="66" xfId="0" applyNumberFormat="1" applyFill="1" applyBorder="1" applyAlignment="1">
      <alignment/>
    </xf>
    <xf numFmtId="0" fontId="158" fillId="34" borderId="34" xfId="59" applyFont="1" applyFill="1" applyBorder="1" applyAlignment="1">
      <alignment horizontal="center"/>
      <protection/>
    </xf>
    <xf numFmtId="0" fontId="172" fillId="34" borderId="35" xfId="59" applyFont="1" applyFill="1" applyBorder="1" applyAlignment="1">
      <alignment horizontal="center"/>
      <protection/>
    </xf>
    <xf numFmtId="0" fontId="172" fillId="34" borderId="38" xfId="59" applyFont="1" applyFill="1" applyBorder="1" applyAlignment="1">
      <alignment horizontal="center"/>
      <protection/>
    </xf>
    <xf numFmtId="0" fontId="172" fillId="34" borderId="34" xfId="59" applyFont="1" applyFill="1" applyBorder="1" applyAlignment="1">
      <alignment horizontal="center"/>
      <protection/>
    </xf>
    <xf numFmtId="0" fontId="172" fillId="34" borderId="36" xfId="59" applyFont="1" applyFill="1" applyBorder="1" applyAlignment="1">
      <alignment horizontal="center"/>
      <protection/>
    </xf>
    <xf numFmtId="0" fontId="172" fillId="34" borderId="37" xfId="59" applyFont="1" applyFill="1" applyBorder="1" applyAlignment="1">
      <alignment horizontal="center"/>
      <protection/>
    </xf>
    <xf numFmtId="0" fontId="159" fillId="34" borderId="31" xfId="59" applyFont="1" applyFill="1" applyBorder="1" applyAlignment="1">
      <alignment horizontal="center"/>
      <protection/>
    </xf>
    <xf numFmtId="202" fontId="158" fillId="34" borderId="46" xfId="59" applyNumberFormat="1" applyFont="1" applyFill="1" applyBorder="1">
      <alignment/>
      <protection/>
    </xf>
    <xf numFmtId="202" fontId="159" fillId="34" borderId="63" xfId="59" applyNumberFormat="1" applyFont="1" applyFill="1" applyBorder="1">
      <alignment/>
      <protection/>
    </xf>
    <xf numFmtId="202" fontId="159" fillId="34" borderId="66" xfId="59" applyNumberFormat="1" applyFont="1" applyFill="1" applyBorder="1">
      <alignment/>
      <protection/>
    </xf>
    <xf numFmtId="202" fontId="159" fillId="34" borderId="46" xfId="59" applyNumberFormat="1" applyFont="1" applyFill="1" applyBorder="1">
      <alignment/>
      <protection/>
    </xf>
    <xf numFmtId="202" fontId="159" fillId="34" borderId="64" xfId="59" applyNumberFormat="1" applyFont="1" applyFill="1" applyBorder="1">
      <alignment/>
      <protection/>
    </xf>
    <xf numFmtId="202" fontId="159" fillId="34" borderId="65" xfId="59" applyNumberFormat="1" applyFont="1" applyFill="1" applyBorder="1">
      <alignment/>
      <protection/>
    </xf>
    <xf numFmtId="0" fontId="159" fillId="34" borderId="26" xfId="0" applyFont="1" applyFill="1" applyBorder="1" applyAlignment="1">
      <alignment/>
    </xf>
    <xf numFmtId="0" fontId="158" fillId="34" borderId="22" xfId="0" applyFont="1" applyFill="1" applyBorder="1" applyAlignment="1">
      <alignment horizontal="center" vertical="center"/>
    </xf>
    <xf numFmtId="0" fontId="159" fillId="34" borderId="58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115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 wrapText="1"/>
    </xf>
    <xf numFmtId="3" fontId="2" fillId="34" borderId="64" xfId="0" applyNumberFormat="1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/>
    </xf>
    <xf numFmtId="0" fontId="2" fillId="34" borderId="162" xfId="0" applyFont="1" applyFill="1" applyBorder="1" applyAlignment="1">
      <alignment horizontal="center" vertical="center" wrapText="1"/>
    </xf>
    <xf numFmtId="0" fontId="2" fillId="34" borderId="109" xfId="0" applyFont="1" applyFill="1" applyBorder="1" applyAlignment="1">
      <alignment vertical="center"/>
    </xf>
    <xf numFmtId="0" fontId="2" fillId="34" borderId="156" xfId="0" applyFont="1" applyFill="1" applyBorder="1" applyAlignment="1">
      <alignment vertical="center"/>
    </xf>
    <xf numFmtId="0" fontId="2" fillId="34" borderId="64" xfId="59" applyFont="1" applyFill="1" applyBorder="1" applyAlignment="1">
      <alignment horizontal="center" vertical="center"/>
      <protection/>
    </xf>
    <xf numFmtId="0" fontId="2" fillId="34" borderId="66" xfId="59" applyFont="1" applyFill="1" applyBorder="1" applyAlignment="1">
      <alignment horizontal="center" vertical="center"/>
      <protection/>
    </xf>
    <xf numFmtId="3" fontId="0" fillId="0" borderId="0" xfId="59" applyNumberFormat="1" applyFont="1" applyFill="1" applyBorder="1" applyAlignment="1">
      <alignment horizontal="center" vertical="center"/>
      <protection/>
    </xf>
    <xf numFmtId="3" fontId="0" fillId="0" borderId="25" xfId="59" applyNumberFormat="1" applyFont="1" applyFill="1" applyBorder="1" applyAlignment="1">
      <alignment horizontal="center" vertical="center"/>
      <protection/>
    </xf>
    <xf numFmtId="0" fontId="176" fillId="34" borderId="87" xfId="58" applyFont="1" applyFill="1" applyBorder="1" applyAlignment="1">
      <alignment horizontal="center"/>
      <protection/>
    </xf>
    <xf numFmtId="0" fontId="176" fillId="34" borderId="88" xfId="58" applyFont="1" applyFill="1" applyBorder="1" applyAlignment="1">
      <alignment horizontal="center"/>
      <protection/>
    </xf>
    <xf numFmtId="0" fontId="176" fillId="34" borderId="109" xfId="58" applyFont="1" applyFill="1" applyBorder="1" applyAlignment="1">
      <alignment horizontal="center"/>
      <protection/>
    </xf>
    <xf numFmtId="0" fontId="178" fillId="34" borderId="90" xfId="58" applyFont="1" applyFill="1" applyBorder="1" applyAlignment="1">
      <alignment horizontal="center"/>
      <protection/>
    </xf>
    <xf numFmtId="0" fontId="179" fillId="34" borderId="96" xfId="58" applyFont="1" applyFill="1" applyBorder="1" applyAlignment="1">
      <alignment horizontal="center"/>
      <protection/>
    </xf>
    <xf numFmtId="0" fontId="178" fillId="34" borderId="156" xfId="58" applyFont="1" applyFill="1" applyBorder="1">
      <alignment/>
      <protection/>
    </xf>
    <xf numFmtId="0" fontId="10" fillId="0" borderId="0" xfId="58" applyFont="1" applyAlignment="1">
      <alignment horizontal="center"/>
      <protection/>
    </xf>
    <xf numFmtId="0" fontId="13" fillId="0" borderId="0" xfId="0" applyFont="1" applyAlignment="1">
      <alignment/>
    </xf>
    <xf numFmtId="0" fontId="2" fillId="34" borderId="29" xfId="0" applyFont="1" applyFill="1" applyBorder="1" applyAlignment="1">
      <alignment horizontal="center"/>
    </xf>
    <xf numFmtId="0" fontId="2" fillId="34" borderId="71" xfId="0" applyFont="1" applyFill="1" applyBorder="1" applyAlignment="1">
      <alignment horizontal="center"/>
    </xf>
    <xf numFmtId="0" fontId="2" fillId="34" borderId="163" xfId="0" applyFont="1" applyFill="1" applyBorder="1" applyAlignment="1">
      <alignment horizontal="center"/>
    </xf>
    <xf numFmtId="0" fontId="4" fillId="0" borderId="0" xfId="58" applyFont="1" applyFill="1" applyBorder="1" applyAlignment="1">
      <alignment horizontal="center"/>
      <protection/>
    </xf>
    <xf numFmtId="0" fontId="158" fillId="34" borderId="26" xfId="58" applyFont="1" applyFill="1" applyBorder="1" applyAlignment="1">
      <alignment horizontal="center"/>
      <protection/>
    </xf>
    <xf numFmtId="0" fontId="158" fillId="34" borderId="22" xfId="58" applyFont="1" applyFill="1" applyBorder="1" applyAlignment="1">
      <alignment horizontal="center"/>
      <protection/>
    </xf>
    <xf numFmtId="0" fontId="158" fillId="34" borderId="44" xfId="58" applyFont="1" applyFill="1" applyBorder="1" applyAlignment="1">
      <alignment horizontal="center"/>
      <protection/>
    </xf>
    <xf numFmtId="0" fontId="158" fillId="34" borderId="71" xfId="58" applyFont="1" applyFill="1" applyBorder="1" applyAlignment="1">
      <alignment horizontal="center"/>
      <protection/>
    </xf>
    <xf numFmtId="0" fontId="158" fillId="34" borderId="163" xfId="58" applyFont="1" applyFill="1" applyBorder="1" applyAlignment="1">
      <alignment horizontal="center"/>
      <protection/>
    </xf>
    <xf numFmtId="0" fontId="158" fillId="34" borderId="43" xfId="58" applyFont="1" applyFill="1" applyBorder="1" applyAlignment="1">
      <alignment horizontal="center"/>
      <protection/>
    </xf>
    <xf numFmtId="0" fontId="158" fillId="34" borderId="72" xfId="58" applyFont="1" applyFill="1" applyBorder="1" applyAlignment="1">
      <alignment horizontal="center"/>
      <protection/>
    </xf>
    <xf numFmtId="0" fontId="158" fillId="34" borderId="164" xfId="58" applyFont="1" applyFill="1" applyBorder="1" applyAlignment="1">
      <alignment horizontal="center"/>
      <protection/>
    </xf>
    <xf numFmtId="0" fontId="158" fillId="34" borderId="33" xfId="59" applyFont="1" applyFill="1" applyBorder="1" applyAlignment="1">
      <alignment horizontal="center"/>
      <protection/>
    </xf>
    <xf numFmtId="0" fontId="158" fillId="34" borderId="23" xfId="59" applyFont="1" applyFill="1" applyBorder="1" applyAlignment="1">
      <alignment horizontal="center"/>
      <protection/>
    </xf>
    <xf numFmtId="0" fontId="158" fillId="34" borderId="34" xfId="59" applyFont="1" applyFill="1" applyBorder="1" applyAlignment="1">
      <alignment horizontal="center"/>
      <protection/>
    </xf>
    <xf numFmtId="0" fontId="158" fillId="34" borderId="36" xfId="59" applyFont="1" applyFill="1" applyBorder="1" applyAlignment="1">
      <alignment horizontal="center"/>
      <protection/>
    </xf>
    <xf numFmtId="0" fontId="158" fillId="34" borderId="38" xfId="59" applyFont="1" applyFill="1" applyBorder="1" applyAlignment="1">
      <alignment horizontal="center"/>
      <protection/>
    </xf>
    <xf numFmtId="0" fontId="158" fillId="34" borderId="37" xfId="59" applyFont="1" applyFill="1" applyBorder="1" applyAlignment="1">
      <alignment horizontal="center"/>
      <protection/>
    </xf>
    <xf numFmtId="0" fontId="9" fillId="0" borderId="0" xfId="0" applyFont="1" applyAlignment="1">
      <alignment horizontal="left"/>
    </xf>
    <xf numFmtId="0" fontId="2" fillId="34" borderId="33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158" fillId="34" borderId="33" xfId="0" applyFont="1" applyFill="1" applyBorder="1" applyAlignment="1">
      <alignment horizontal="center"/>
    </xf>
    <xf numFmtId="0" fontId="158" fillId="34" borderId="23" xfId="0" applyFont="1" applyFill="1" applyBorder="1" applyAlignment="1">
      <alignment horizontal="center"/>
    </xf>
    <xf numFmtId="0" fontId="158" fillId="34" borderId="34" xfId="0" applyFont="1" applyFill="1" applyBorder="1" applyAlignment="1">
      <alignment horizontal="center"/>
    </xf>
    <xf numFmtId="0" fontId="158" fillId="34" borderId="36" xfId="0" applyFont="1" applyFill="1" applyBorder="1" applyAlignment="1">
      <alignment horizontal="center"/>
    </xf>
    <xf numFmtId="0" fontId="158" fillId="34" borderId="37" xfId="0" applyFont="1" applyFill="1" applyBorder="1" applyAlignment="1">
      <alignment horizontal="center"/>
    </xf>
    <xf numFmtId="0" fontId="158" fillId="34" borderId="38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114" xfId="0" applyFont="1" applyFill="1" applyBorder="1" applyAlignment="1">
      <alignment horizontal="center" vertical="center"/>
    </xf>
    <xf numFmtId="0" fontId="2" fillId="34" borderId="115" xfId="0" applyFont="1" applyFill="1" applyBorder="1" applyAlignment="1">
      <alignment horizontal="center" vertical="center"/>
    </xf>
    <xf numFmtId="0" fontId="177" fillId="34" borderId="162" xfId="0" applyFont="1" applyFill="1" applyBorder="1" applyAlignment="1">
      <alignment horizontal="center"/>
    </xf>
    <xf numFmtId="0" fontId="177" fillId="34" borderId="109" xfId="0" applyFont="1" applyFill="1" applyBorder="1" applyAlignment="1">
      <alignment horizontal="center"/>
    </xf>
    <xf numFmtId="0" fontId="177" fillId="34" borderId="156" xfId="0" applyFont="1" applyFill="1" applyBorder="1" applyAlignment="1">
      <alignment horizontal="center"/>
    </xf>
    <xf numFmtId="0" fontId="158" fillId="34" borderId="22" xfId="0" applyFont="1" applyFill="1" applyBorder="1" applyAlignment="1">
      <alignment horizontal="center" vertical="center"/>
    </xf>
    <xf numFmtId="0" fontId="158" fillId="34" borderId="58" xfId="0" applyFont="1" applyFill="1" applyBorder="1" applyAlignment="1">
      <alignment horizontal="center" vertical="center"/>
    </xf>
    <xf numFmtId="0" fontId="158" fillId="34" borderId="68" xfId="0" applyFont="1" applyFill="1" applyBorder="1" applyAlignment="1">
      <alignment horizontal="center" vertical="center"/>
    </xf>
    <xf numFmtId="0" fontId="158" fillId="34" borderId="13" xfId="0" applyFont="1" applyFill="1" applyBorder="1" applyAlignment="1">
      <alignment horizontal="center" vertical="center"/>
    </xf>
    <xf numFmtId="0" fontId="158" fillId="34" borderId="0" xfId="0" applyFont="1" applyFill="1" applyBorder="1" applyAlignment="1">
      <alignment horizontal="center" vertical="center" wrapText="1"/>
    </xf>
    <xf numFmtId="0" fontId="158" fillId="34" borderId="39" xfId="0" applyFont="1" applyFill="1" applyBorder="1" applyAlignment="1">
      <alignment horizontal="center" vertical="center" wrapText="1"/>
    </xf>
    <xf numFmtId="0" fontId="158" fillId="34" borderId="23" xfId="0" applyFont="1" applyFill="1" applyBorder="1" applyAlignment="1">
      <alignment horizontal="center" vertical="center" wrapText="1"/>
    </xf>
    <xf numFmtId="0" fontId="159" fillId="34" borderId="40" xfId="0" applyFont="1" applyFill="1" applyBorder="1" applyAlignment="1">
      <alignment/>
    </xf>
    <xf numFmtId="0" fontId="0" fillId="34" borderId="27" xfId="0" applyFill="1" applyBorder="1" applyAlignment="1">
      <alignment horizontal="center"/>
    </xf>
    <xf numFmtId="0" fontId="0" fillId="34" borderId="114" xfId="0" applyFill="1" applyBorder="1" applyAlignment="1">
      <alignment horizontal="center"/>
    </xf>
    <xf numFmtId="0" fontId="16" fillId="0" borderId="47" xfId="0" applyFont="1" applyFill="1" applyBorder="1" applyAlignment="1">
      <alignment vertical="center"/>
    </xf>
    <xf numFmtId="0" fontId="16" fillId="0" borderId="165" xfId="0" applyFont="1" applyFill="1" applyBorder="1" applyAlignment="1">
      <alignment vertical="center"/>
    </xf>
    <xf numFmtId="3" fontId="0" fillId="0" borderId="118" xfId="0" applyNumberFormat="1" applyFill="1" applyBorder="1" applyAlignment="1">
      <alignment horizontal="center" vertical="center"/>
    </xf>
    <xf numFmtId="3" fontId="0" fillId="0" borderId="166" xfId="0" applyNumberFormat="1" applyFill="1" applyBorder="1" applyAlignment="1">
      <alignment horizontal="center" vertical="center"/>
    </xf>
    <xf numFmtId="0" fontId="16" fillId="0" borderId="43" xfId="0" applyFont="1" applyFill="1" applyBorder="1" applyAlignment="1">
      <alignment vertical="center"/>
    </xf>
    <xf numFmtId="0" fontId="16" fillId="0" borderId="164" xfId="0" applyFont="1" applyFill="1" applyBorder="1" applyAlignment="1">
      <alignment vertical="center"/>
    </xf>
    <xf numFmtId="3" fontId="0" fillId="0" borderId="53" xfId="0" applyNumberFormat="1" applyFill="1" applyBorder="1" applyAlignment="1">
      <alignment horizontal="center" vertical="center"/>
    </xf>
    <xf numFmtId="3" fontId="0" fillId="0" borderId="167" xfId="0" applyNumberFormat="1" applyFill="1" applyBorder="1" applyAlignment="1">
      <alignment horizontal="center" vertical="center"/>
    </xf>
    <xf numFmtId="0" fontId="16" fillId="0" borderId="46" xfId="0" applyFont="1" applyFill="1" applyBorder="1" applyAlignment="1">
      <alignment vertical="center"/>
    </xf>
    <xf numFmtId="0" fontId="16" fillId="0" borderId="66" xfId="0" applyFont="1" applyFill="1" applyBorder="1" applyAlignment="1">
      <alignment vertical="center"/>
    </xf>
    <xf numFmtId="0" fontId="16" fillId="0" borderId="43" xfId="0" applyFont="1" applyFill="1" applyBorder="1" applyAlignment="1">
      <alignment horizontal="left" vertical="center"/>
    </xf>
    <xf numFmtId="0" fontId="16" fillId="0" borderId="164" xfId="0" applyFont="1" applyFill="1" applyBorder="1" applyAlignment="1">
      <alignment horizontal="left" vertical="center"/>
    </xf>
    <xf numFmtId="3" fontId="2" fillId="34" borderId="26" xfId="0" applyNumberFormat="1" applyFont="1" applyFill="1" applyBorder="1" applyAlignment="1">
      <alignment horizontal="center" vertical="center" wrapText="1"/>
    </xf>
    <xf numFmtId="3" fontId="2" fillId="34" borderId="46" xfId="0" applyNumberFormat="1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162" xfId="0" applyFont="1" applyFill="1" applyBorder="1" applyAlignment="1">
      <alignment horizontal="center" vertical="center"/>
    </xf>
    <xf numFmtId="0" fontId="2" fillId="34" borderId="109" xfId="0" applyFont="1" applyFill="1" applyBorder="1" applyAlignment="1">
      <alignment horizontal="center" vertical="center"/>
    </xf>
    <xf numFmtId="0" fontId="2" fillId="34" borderId="156" xfId="0" applyFont="1" applyFill="1" applyBorder="1" applyAlignment="1">
      <alignment horizontal="center" vertical="center"/>
    </xf>
    <xf numFmtId="3" fontId="0" fillId="0" borderId="119" xfId="0" applyNumberFormat="1" applyFill="1" applyBorder="1" applyAlignment="1">
      <alignment horizontal="center" vertical="center"/>
    </xf>
    <xf numFmtId="3" fontId="0" fillId="0" borderId="168" xfId="0" applyNumberFormat="1" applyFill="1" applyBorder="1" applyAlignment="1">
      <alignment horizontal="center" vertical="center"/>
    </xf>
    <xf numFmtId="0" fontId="4" fillId="34" borderId="27" xfId="0" applyFont="1" applyFill="1" applyBorder="1" applyAlignment="1">
      <alignment vertical="center"/>
    </xf>
    <xf numFmtId="0" fontId="4" fillId="34" borderId="46" xfId="0" applyFont="1" applyFill="1" applyBorder="1" applyAlignment="1">
      <alignment vertical="center"/>
    </xf>
    <xf numFmtId="0" fontId="4" fillId="34" borderId="64" xfId="0" applyFont="1" applyFill="1" applyBorder="1" applyAlignment="1">
      <alignment vertical="center"/>
    </xf>
    <xf numFmtId="201" fontId="0" fillId="0" borderId="76" xfId="59" applyNumberFormat="1" applyFont="1" applyFill="1" applyBorder="1" applyAlignment="1">
      <alignment horizontal="center"/>
      <protection/>
    </xf>
    <xf numFmtId="201" fontId="0" fillId="0" borderId="25" xfId="59" applyNumberFormat="1" applyFont="1" applyFill="1" applyBorder="1" applyAlignment="1">
      <alignment horizontal="center"/>
      <protection/>
    </xf>
    <xf numFmtId="3" fontId="0" fillId="0" borderId="76" xfId="59" applyNumberFormat="1" applyFont="1" applyFill="1" applyBorder="1" applyAlignment="1">
      <alignment horizontal="center" vertical="center"/>
      <protection/>
    </xf>
    <xf numFmtId="3" fontId="0" fillId="0" borderId="45" xfId="59" applyNumberFormat="1" applyFont="1" applyFill="1" applyBorder="1" applyAlignment="1">
      <alignment horizontal="center" vertical="center"/>
      <protection/>
    </xf>
    <xf numFmtId="0" fontId="2" fillId="34" borderId="157" xfId="59" applyFont="1" applyFill="1" applyBorder="1" applyAlignment="1">
      <alignment horizontal="center" vertical="center"/>
      <protection/>
    </xf>
    <xf numFmtId="0" fontId="2" fillId="34" borderId="155" xfId="59" applyFont="1" applyFill="1" applyBorder="1" applyAlignment="1">
      <alignment horizontal="center" vertical="center"/>
      <protection/>
    </xf>
    <xf numFmtId="0" fontId="2" fillId="34" borderId="29" xfId="59" applyFont="1" applyFill="1" applyBorder="1" applyAlignment="1">
      <alignment horizontal="center" vertical="center"/>
      <protection/>
    </xf>
    <xf numFmtId="0" fontId="2" fillId="34" borderId="71" xfId="59" applyFont="1" applyFill="1" applyBorder="1" applyAlignment="1">
      <alignment horizontal="center" vertical="center"/>
      <protection/>
    </xf>
    <xf numFmtId="0" fontId="2" fillId="34" borderId="163" xfId="59" applyFont="1" applyFill="1" applyBorder="1" applyAlignment="1">
      <alignment horizontal="center" vertical="center"/>
      <protection/>
    </xf>
    <xf numFmtId="0" fontId="2" fillId="34" borderId="27" xfId="59" applyFont="1" applyFill="1" applyBorder="1" applyAlignment="1">
      <alignment horizontal="center" vertical="center" wrapText="1"/>
      <protection/>
    </xf>
    <xf numFmtId="0" fontId="2" fillId="34" borderId="114" xfId="59" applyFont="1" applyFill="1" applyBorder="1" applyAlignment="1">
      <alignment horizontal="center" vertical="center" wrapText="1"/>
      <protection/>
    </xf>
    <xf numFmtId="201" fontId="4" fillId="0" borderId="169" xfId="59" applyNumberFormat="1" applyFont="1" applyFill="1" applyBorder="1" applyAlignment="1">
      <alignment horizontal="center"/>
      <protection/>
    </xf>
    <xf numFmtId="201" fontId="4" fillId="0" borderId="115" xfId="59" applyNumberFormat="1" applyFont="1" applyFill="1" applyBorder="1" applyAlignment="1">
      <alignment horizontal="center"/>
      <protection/>
    </xf>
    <xf numFmtId="202" fontId="0" fillId="0" borderId="11" xfId="59" applyNumberFormat="1" applyFont="1" applyFill="1" applyBorder="1" applyAlignment="1">
      <alignment horizontal="center" vertical="center"/>
      <protection/>
    </xf>
    <xf numFmtId="202" fontId="0" fillId="0" borderId="25" xfId="59" applyNumberFormat="1" applyFont="1" applyFill="1" applyBorder="1" applyAlignment="1">
      <alignment horizontal="center" vertical="center"/>
      <protection/>
    </xf>
    <xf numFmtId="3" fontId="0" fillId="0" borderId="169" xfId="59" applyNumberFormat="1" applyFont="1" applyFill="1" applyBorder="1" applyAlignment="1">
      <alignment horizontal="center" vertical="center"/>
      <protection/>
    </xf>
    <xf numFmtId="3" fontId="0" fillId="0" borderId="50" xfId="59" applyNumberFormat="1" applyFont="1" applyFill="1" applyBorder="1" applyAlignment="1">
      <alignment horizontal="center" vertical="center"/>
      <protection/>
    </xf>
    <xf numFmtId="202" fontId="0" fillId="0" borderId="48" xfId="59" applyNumberFormat="1" applyFont="1" applyFill="1" applyBorder="1" applyAlignment="1">
      <alignment horizontal="center" vertical="center"/>
      <protection/>
    </xf>
    <xf numFmtId="202" fontId="0" fillId="0" borderId="115" xfId="59" applyNumberFormat="1" applyFont="1" applyFill="1" applyBorder="1" applyAlignment="1">
      <alignment horizontal="center" vertical="center"/>
      <protection/>
    </xf>
    <xf numFmtId="0" fontId="158" fillId="34" borderId="170" xfId="58" applyFont="1" applyFill="1" applyBorder="1" applyAlignment="1">
      <alignment horizontal="center"/>
      <protection/>
    </xf>
    <xf numFmtId="0" fontId="159" fillId="34" borderId="71" xfId="58" applyFont="1" applyFill="1" applyBorder="1" applyAlignment="1">
      <alignment horizontal="center"/>
      <protection/>
    </xf>
    <xf numFmtId="0" fontId="159" fillId="34" borderId="163" xfId="58" applyFont="1" applyFill="1" applyBorder="1" applyAlignment="1">
      <alignment horizontal="center"/>
      <protection/>
    </xf>
    <xf numFmtId="0" fontId="159" fillId="34" borderId="14" xfId="58" applyFont="1" applyFill="1" applyBorder="1" applyAlignment="1">
      <alignment horizontal="center"/>
      <protection/>
    </xf>
    <xf numFmtId="0" fontId="158" fillId="34" borderId="158" xfId="58" applyFont="1" applyFill="1" applyBorder="1" applyAlignment="1">
      <alignment horizontal="center" vertical="center" wrapText="1"/>
      <protection/>
    </xf>
    <xf numFmtId="0" fontId="159" fillId="34" borderId="24" xfId="58" applyFont="1" applyFill="1" applyBorder="1" applyAlignment="1">
      <alignment wrapText="1"/>
      <protection/>
    </xf>
    <xf numFmtId="0" fontId="159" fillId="34" borderId="159" xfId="58" applyFont="1" applyFill="1" applyBorder="1" applyAlignment="1">
      <alignment wrapText="1"/>
      <protection/>
    </xf>
    <xf numFmtId="0" fontId="171" fillId="27" borderId="0" xfId="58" applyFont="1" applyFill="1" applyBorder="1" applyAlignment="1">
      <alignment horizontal="center" vertical="top"/>
      <protection/>
    </xf>
    <xf numFmtId="0" fontId="170" fillId="27" borderId="0" xfId="58" applyFont="1" applyFill="1" applyBorder="1" applyAlignment="1">
      <alignment horizontal="center" vertical="top"/>
      <protection/>
    </xf>
    <xf numFmtId="0" fontId="10" fillId="0" borderId="0" xfId="59" applyFont="1" applyAlignment="1">
      <alignment horizontal="left"/>
      <protection/>
    </xf>
    <xf numFmtId="0" fontId="167" fillId="0" borderId="0" xfId="58" applyFont="1" applyAlignment="1">
      <alignment horizontal="left"/>
      <protection/>
    </xf>
    <xf numFmtId="0" fontId="35" fillId="0" borderId="96" xfId="58" applyFont="1" applyFill="1" applyBorder="1" applyAlignment="1">
      <alignment horizontal="center"/>
      <protection/>
    </xf>
    <xf numFmtId="0" fontId="35" fillId="0" borderId="93" xfId="58" applyFont="1" applyFill="1" applyBorder="1" applyAlignment="1">
      <alignment horizontal="center"/>
      <protection/>
    </xf>
    <xf numFmtId="0" fontId="35" fillId="29" borderId="96" xfId="58" applyFont="1" applyFill="1" applyBorder="1" applyAlignment="1">
      <alignment horizontal="center"/>
      <protection/>
    </xf>
    <xf numFmtId="0" fontId="35" fillId="29" borderId="93" xfId="58" applyFont="1" applyFill="1" applyBorder="1" applyAlignment="1">
      <alignment horizontal="center"/>
      <protection/>
    </xf>
    <xf numFmtId="0" fontId="35" fillId="0" borderId="21" xfId="58" applyFont="1" applyFill="1" applyBorder="1" applyAlignment="1">
      <alignment horizontal="center"/>
      <protection/>
    </xf>
    <xf numFmtId="0" fontId="35" fillId="0" borderId="49" xfId="58" applyFont="1" applyFill="1" applyBorder="1" applyAlignment="1">
      <alignment horizontal="center"/>
      <protection/>
    </xf>
    <xf numFmtId="0" fontId="35" fillId="25" borderId="21" xfId="58" applyFont="1" applyFill="1" applyBorder="1" applyAlignment="1">
      <alignment horizontal="center"/>
      <protection/>
    </xf>
    <xf numFmtId="0" fontId="35" fillId="25" borderId="13" xfId="58" applyFont="1" applyFill="1" applyBorder="1" applyAlignment="1">
      <alignment horizontal="center"/>
      <protection/>
    </xf>
    <xf numFmtId="0" fontId="35" fillId="25" borderId="96" xfId="58" applyFont="1" applyFill="1" applyBorder="1" applyAlignment="1">
      <alignment horizontal="center"/>
      <protection/>
    </xf>
    <xf numFmtId="0" fontId="35" fillId="25" borderId="88" xfId="58" applyFont="1" applyFill="1" applyBorder="1" applyAlignment="1">
      <alignment horizontal="center"/>
      <protection/>
    </xf>
    <xf numFmtId="0" fontId="9" fillId="0" borderId="0" xfId="58" applyFont="1" applyAlignment="1">
      <alignment horizontal="left"/>
      <protection/>
    </xf>
    <xf numFmtId="0" fontId="32" fillId="25" borderId="96" xfId="58" applyFont="1" applyFill="1" applyBorder="1" applyAlignment="1">
      <alignment horizontal="center"/>
      <protection/>
    </xf>
    <xf numFmtId="0" fontId="32" fillId="25" borderId="88" xfId="58" applyFont="1" applyFill="1" applyBorder="1" applyAlignment="1">
      <alignment horizontal="center"/>
      <protection/>
    </xf>
    <xf numFmtId="0" fontId="10" fillId="0" borderId="0" xfId="58" applyFont="1" applyAlignment="1">
      <alignment horizontal="left"/>
      <protection/>
    </xf>
    <xf numFmtId="0" fontId="2" fillId="34" borderId="35" xfId="58" applyFont="1" applyFill="1" applyBorder="1" applyAlignment="1">
      <alignment horizontal="center" vertical="center" wrapText="1"/>
      <protection/>
    </xf>
    <xf numFmtId="0" fontId="2" fillId="34" borderId="63" xfId="58" applyFont="1" applyFill="1" applyBorder="1" applyAlignment="1">
      <alignment horizontal="center" vertical="center" wrapText="1"/>
      <protection/>
    </xf>
    <xf numFmtId="0" fontId="163" fillId="0" borderId="0" xfId="58" applyFont="1" applyAlignment="1">
      <alignment horizontal="center"/>
      <protection/>
    </xf>
    <xf numFmtId="0" fontId="1" fillId="0" borderId="0" xfId="58" applyFont="1" applyBorder="1" applyAlignment="1">
      <alignment horizontal="left"/>
      <protection/>
    </xf>
    <xf numFmtId="0" fontId="158" fillId="30" borderId="63" xfId="58" applyFont="1" applyFill="1" applyBorder="1" applyAlignment="1">
      <alignment horizontal="center" vertical="center"/>
      <protection/>
    </xf>
    <xf numFmtId="0" fontId="158" fillId="30" borderId="10" xfId="58" applyFont="1" applyFill="1" applyBorder="1" applyAlignment="1">
      <alignment horizontal="center" vertical="center"/>
      <protection/>
    </xf>
    <xf numFmtId="0" fontId="158" fillId="30" borderId="42" xfId="58" applyFont="1" applyFill="1" applyBorder="1" applyAlignment="1">
      <alignment horizontal="center" vertical="center"/>
      <protection/>
    </xf>
    <xf numFmtId="0" fontId="158" fillId="30" borderId="35" xfId="58" applyFont="1" applyFill="1" applyBorder="1" applyAlignment="1">
      <alignment horizontal="center" vertical="center"/>
      <protection/>
    </xf>
    <xf numFmtId="0" fontId="158" fillId="30" borderId="12" xfId="58" applyFont="1" applyFill="1" applyBorder="1" applyAlignment="1">
      <alignment horizontal="center" vertical="center"/>
      <protection/>
    </xf>
    <xf numFmtId="0" fontId="6" fillId="29" borderId="35" xfId="58" applyFont="1" applyFill="1" applyBorder="1" applyAlignment="1">
      <alignment horizontal="center" vertical="center"/>
      <protection/>
    </xf>
    <xf numFmtId="0" fontId="0" fillId="29" borderId="63" xfId="58" applyFill="1" applyBorder="1" applyAlignment="1">
      <alignment horizontal="center" vertical="center"/>
      <protection/>
    </xf>
    <xf numFmtId="0" fontId="4" fillId="29" borderId="37" xfId="58" applyFont="1" applyFill="1" applyBorder="1" applyAlignment="1">
      <alignment horizontal="center"/>
      <protection/>
    </xf>
    <xf numFmtId="0" fontId="4" fillId="29" borderId="59" xfId="58" applyFont="1" applyFill="1" applyBorder="1" applyAlignment="1">
      <alignment horizontal="center"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11" xfId="58"/>
    <cellStyle name="Normal 2" xfId="59"/>
    <cellStyle name="Normal 2 2" xfId="60"/>
    <cellStyle name="Normal 3" xfId="61"/>
    <cellStyle name="Normal 4" xfId="62"/>
    <cellStyle name="Normal 5" xfId="63"/>
    <cellStyle name="Normal_5.3.1_1" xfId="64"/>
    <cellStyle name="Notas" xfId="65"/>
    <cellStyle name="Percent" xfId="66"/>
    <cellStyle name="Porcentaje 2" xfId="67"/>
    <cellStyle name="Porcentaje 2 2" xfId="68"/>
    <cellStyle name="Porcentaje 3" xfId="69"/>
    <cellStyle name="Porcentaje 4" xfId="70"/>
    <cellStyle name="Porcentaje 4 2" xfId="71"/>
    <cellStyle name="Porcentaje 5" xfId="72"/>
    <cellStyle name="Porcentual 2" xfId="73"/>
    <cellStyle name="Porcentual 2 2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POTENCIA INSTALADA - GENERADORAS PARA MERCADO ELÉCTRICO
 1 995 -2 014</a:t>
            </a:r>
          </a:p>
        </c:rich>
      </c:tx>
      <c:layout>
        <c:manualLayout>
          <c:xMode val="factor"/>
          <c:yMode val="factor"/>
          <c:x val="-0.01125"/>
          <c:y val="0.003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6525"/>
          <c:y val="0.19725"/>
          <c:w val="0.87"/>
          <c:h val="0.6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PI-2014'!$R$35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PI-2014'!$Q$36:$Q$55</c:f>
              <c:numCache/>
            </c:numRef>
          </c:cat>
          <c:val>
            <c:numRef>
              <c:f>'10.1 PI-2014'!$R$36:$R$55</c:f>
              <c:numCache/>
            </c:numRef>
          </c:val>
        </c:ser>
        <c:ser>
          <c:idx val="1"/>
          <c:order val="1"/>
          <c:tx>
            <c:strRef>
              <c:f>'10.1 PI-2014'!$S$35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1F497D"/>
            </a:solidFill>
            <a:ln w="127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PI-2014'!$Q$36:$Q$55</c:f>
              <c:numCache/>
            </c:numRef>
          </c:cat>
          <c:val>
            <c:numRef>
              <c:f>'10.1 PI-2014'!$S$36:$S$55</c:f>
              <c:numCache/>
            </c:numRef>
          </c:val>
        </c:ser>
        <c:ser>
          <c:idx val="2"/>
          <c:order val="2"/>
          <c:tx>
            <c:strRef>
              <c:f>'10.1 PI-2014'!$T$35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PI-2014'!$Q$36:$Q$55</c:f>
              <c:numCache/>
            </c:numRef>
          </c:cat>
          <c:val>
            <c:numRef>
              <c:f>'10.1 PI-2014'!$T$36:$T$55</c:f>
              <c:numCache/>
            </c:numRef>
          </c:val>
        </c:ser>
        <c:ser>
          <c:idx val="3"/>
          <c:order val="3"/>
          <c:tx>
            <c:strRef>
              <c:f>'10.1 PI-2014'!$U$35</c:f>
              <c:strCache>
                <c:ptCount val="1"/>
                <c:pt idx="0">
                  <c:v>Solar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 PI-2014'!$Q$36:$Q$55</c:f>
              <c:numCache/>
            </c:numRef>
          </c:cat>
          <c:val>
            <c:numRef>
              <c:f>'10.1 PI-2014'!$U$36:$U$55</c:f>
              <c:numCache/>
            </c:numRef>
          </c:val>
        </c:ser>
        <c:ser>
          <c:idx val="4"/>
          <c:order val="4"/>
          <c:tx>
            <c:strRef>
              <c:f>'10.1 PI-2014'!$V$35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PI-2014'!$Q$36:$Q$55</c:f>
              <c:numCache/>
            </c:numRef>
          </c:cat>
          <c:val>
            <c:numRef>
              <c:f>'10.1 PI-2014'!$V$36:$V$55</c:f>
              <c:numCache/>
            </c:numRef>
          </c:val>
        </c:ser>
        <c:axId val="47498355"/>
        <c:axId val="24832012"/>
      </c:bar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2012"/>
        <c:crosses val="autoZero"/>
        <c:auto val="1"/>
        <c:lblOffset val="100"/>
        <c:tickLblSkip val="1"/>
        <c:noMultiLvlLbl val="0"/>
      </c:catAx>
      <c:valAx>
        <c:axId val="24832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8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25"/>
          <c:y val="0.841"/>
          <c:w val="0.63625"/>
          <c:h val="0.1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DE ENERGÍA ELÉCTRICA 
PARA USO PROPIO 1 995 - 2 014</a:t>
            </a:r>
          </a:p>
        </c:rich>
      </c:tx>
      <c:layout>
        <c:manualLayout>
          <c:xMode val="factor"/>
          <c:yMode val="factor"/>
          <c:x val="-0.0035"/>
          <c:y val="-0.020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47"/>
          <c:y val="0.18075"/>
          <c:w val="0.9415"/>
          <c:h val="0.81825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Prod'!$S$75</c:f>
              <c:strCache>
                <c:ptCount val="1"/>
                <c:pt idx="0">
                  <c:v>Hidráulica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Prod'!$R$76:$R$95</c:f>
              <c:numCache/>
            </c:numRef>
          </c:cat>
          <c:val>
            <c:numRef>
              <c:f>'10.4 Prod'!$S$76:$S$95</c:f>
              <c:numCache/>
            </c:numRef>
          </c:val>
        </c:ser>
        <c:ser>
          <c:idx val="1"/>
          <c:order val="1"/>
          <c:tx>
            <c:strRef>
              <c:f>'10.4 Prod'!$T$75</c:f>
              <c:strCache>
                <c:ptCount val="1"/>
                <c:pt idx="0">
                  <c:v>Térmica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Prod'!$R$76:$R$95</c:f>
              <c:numCache/>
            </c:numRef>
          </c:cat>
          <c:val>
            <c:numRef>
              <c:f>'10.4 Prod'!$T$76:$T$95</c:f>
              <c:numCache/>
            </c:numRef>
          </c:val>
        </c:ser>
        <c:axId val="54168765"/>
        <c:axId val="17756838"/>
      </c:areaChart>
      <c:catAx>
        <c:axId val="5416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56838"/>
        <c:crosses val="autoZero"/>
        <c:auto val="1"/>
        <c:lblOffset val="100"/>
        <c:tickLblSkip val="1"/>
        <c:noMultiLvlLbl val="0"/>
      </c:catAx>
      <c:valAx>
        <c:axId val="1775683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68765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LÍNEAS DE TRANSMISIÓN A NIVEL NACIONAL
1995 - 2014</a:t>
            </a:r>
          </a:p>
        </c:rich>
      </c:tx>
      <c:layout>
        <c:manualLayout>
          <c:xMode val="factor"/>
          <c:yMode val="factor"/>
          <c:x val="0.0012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18075"/>
          <c:w val="0.8855"/>
          <c:h val="0.69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'10.5 Lineas'!$P$10:$P$11</c:f>
              <c:strCache>
                <c:ptCount val="1"/>
                <c:pt idx="0">
                  <c:v>500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'10.5 Lineas'!$N$12:$N$31</c:f>
              <c:strCache/>
            </c:strRef>
          </c:cat>
          <c:val>
            <c:numRef>
              <c:f>'10.5 Lineas'!$P$12:$P$31</c:f>
              <c:numCache/>
            </c:numRef>
          </c:val>
        </c:ser>
        <c:ser>
          <c:idx val="2"/>
          <c:order val="1"/>
          <c:tx>
            <c:strRef>
              <c:f>'10.5 Lineas'!$Q$10:$Q$11</c:f>
              <c:strCache>
                <c:ptCount val="1"/>
                <c:pt idx="0">
                  <c:v>220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'10.5 Lineas'!$N$12:$N$31</c:f>
              <c:strCache/>
            </c:strRef>
          </c:cat>
          <c:val>
            <c:numRef>
              <c:f>'10.5 Lineas'!$Q$12:$Q$31</c:f>
              <c:numCache/>
            </c:numRef>
          </c:val>
        </c:ser>
        <c:ser>
          <c:idx val="3"/>
          <c:order val="2"/>
          <c:tx>
            <c:strRef>
              <c:f>'10.5 Lineas'!$R$10:$R$11</c:f>
              <c:strCache>
                <c:ptCount val="1"/>
                <c:pt idx="0">
                  <c:v>138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'10.5 Lineas'!$N$12:$N$31</c:f>
              <c:strCache/>
            </c:strRef>
          </c:cat>
          <c:val>
            <c:numRef>
              <c:f>'10.5 Lineas'!$R$12:$R$31</c:f>
              <c:numCache/>
            </c:numRef>
          </c:val>
        </c:ser>
        <c:ser>
          <c:idx val="4"/>
          <c:order val="3"/>
          <c:tx>
            <c:strRef>
              <c:f>'10.5 Lineas'!$S$10:$S$11</c:f>
              <c:strCache>
                <c:ptCount val="1"/>
                <c:pt idx="0">
                  <c:v>60 - 69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'10.5 Lineas'!$N$12:$N$31</c:f>
              <c:strCache/>
            </c:strRef>
          </c:cat>
          <c:val>
            <c:numRef>
              <c:f>'10.5 Lineas'!$S$12:$S$31</c:f>
              <c:numCache/>
            </c:numRef>
          </c:val>
        </c:ser>
        <c:ser>
          <c:idx val="0"/>
          <c:order val="4"/>
          <c:tx>
            <c:strRef>
              <c:f>'10.5 Lineas'!$T$10:$T$11</c:f>
              <c:strCache>
                <c:ptCount val="1"/>
                <c:pt idx="0">
                  <c:v>30 - 50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'10.5 Lineas'!$N$12:$N$31</c:f>
              <c:strCache/>
            </c:strRef>
          </c:cat>
          <c:val>
            <c:numRef>
              <c:f>'10.5 Lineas'!$T$12:$T$31</c:f>
              <c:numCache/>
            </c:numRef>
          </c:val>
        </c:ser>
        <c:overlap val="100"/>
        <c:axId val="25593815"/>
        <c:axId val="29017744"/>
      </c:barChart>
      <c:catAx>
        <c:axId val="2559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17744"/>
        <c:crosses val="autoZero"/>
        <c:auto val="1"/>
        <c:lblOffset val="100"/>
        <c:tickLblSkip val="1"/>
        <c:noMultiLvlLbl val="0"/>
      </c:catAx>
      <c:valAx>
        <c:axId val="29017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(km)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3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"/>
          <c:y val="0.89025"/>
          <c:w val="0.59875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EVOLUCIÓN DE VENTAS DE ENERGÍA ELÉCTRICA  POR TIPO DE MERCADO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1 995 - 2 014</a:t>
            </a:r>
          </a:p>
        </c:rich>
      </c:tx>
      <c:layout>
        <c:manualLayout>
          <c:xMode val="factor"/>
          <c:yMode val="factor"/>
          <c:x val="0.0105"/>
          <c:y val="-0.01375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4675"/>
          <c:y val="0.21325"/>
          <c:w val="0.944"/>
          <c:h val="0.76375"/>
        </c:manualLayout>
      </c:layout>
      <c:areaChart>
        <c:grouping val="stacked"/>
        <c:varyColors val="0"/>
        <c:ser>
          <c:idx val="0"/>
          <c:order val="0"/>
          <c:tx>
            <c:strRef>
              <c:f>'10.6 VENTAS'!$O$12:$O$13</c:f>
              <c:strCache>
                <c:ptCount val="1"/>
                <c:pt idx="0">
                  <c:v>Regulados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VENTAS'!$N$14:$N$33</c:f>
              <c:numCache/>
            </c:numRef>
          </c:cat>
          <c:val>
            <c:numRef>
              <c:f>'10.6 VENTAS'!$O$14:$O$33</c:f>
              <c:numCache/>
            </c:numRef>
          </c:val>
        </c:ser>
        <c:ser>
          <c:idx val="1"/>
          <c:order val="1"/>
          <c:tx>
            <c:strRef>
              <c:f>'10.6 VENTAS'!$P$12:$P$13</c:f>
              <c:strCache>
                <c:ptCount val="1"/>
                <c:pt idx="0">
                  <c:v>Libres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VENTAS'!$N$14:$N$33</c:f>
              <c:numCache/>
            </c:numRef>
          </c:cat>
          <c:val>
            <c:numRef>
              <c:f>'10.6 VENTAS'!$P$14:$P$33</c:f>
              <c:numCache/>
            </c:numRef>
          </c:val>
        </c:ser>
        <c:axId val="59833105"/>
        <c:axId val="1627034"/>
      </c:areaChart>
      <c:catAx>
        <c:axId val="598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7034"/>
        <c:crosses val="autoZero"/>
        <c:auto val="1"/>
        <c:lblOffset val="100"/>
        <c:tickLblSkip val="1"/>
        <c:noMultiLvlLbl val="0"/>
      </c:catAx>
      <c:valAx>
        <c:axId val="1627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33105"/>
        <c:crossesAt val="1"/>
        <c:crossBetween val="midCat"/>
        <c:dispUnits/>
        <c:majorUnit val="4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EVOLUCIÓN DE VENTAS DE ENERGÍA POR TIPO DE EMPRESA
1 995 - 2 014</a:t>
            </a:r>
          </a:p>
        </c:rich>
      </c:tx>
      <c:layout>
        <c:manualLayout>
          <c:xMode val="factor"/>
          <c:yMode val="factor"/>
          <c:x val="0.0105"/>
          <c:y val="0.013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73"/>
          <c:y val="0.209"/>
          <c:w val="0.89925"/>
          <c:h val="0.75275"/>
        </c:manualLayout>
      </c:layout>
      <c:areaChart>
        <c:grouping val="stacked"/>
        <c:varyColors val="0"/>
        <c:ser>
          <c:idx val="0"/>
          <c:order val="0"/>
          <c:tx>
            <c:strRef>
              <c:f>'10.6 VENTAS'!$O$42:$O$44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VENTAS'!$N$45:$N$64</c:f>
              <c:numCache/>
            </c:numRef>
          </c:cat>
          <c:val>
            <c:numRef>
              <c:f>'10.6 VENTAS'!$O$45:$O$64</c:f>
              <c:numCache/>
            </c:numRef>
          </c:val>
        </c:ser>
        <c:ser>
          <c:idx val="1"/>
          <c:order val="1"/>
          <c:tx>
            <c:strRef>
              <c:f>'10.6 VENTAS'!$P$42:$P$44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VENTAS'!$N$45:$N$64</c:f>
              <c:numCache/>
            </c:numRef>
          </c:cat>
          <c:val>
            <c:numRef>
              <c:f>'10.6 VENTAS'!$P$45:$P$64</c:f>
              <c:numCache/>
            </c:numRef>
          </c:val>
        </c:ser>
        <c:axId val="14643307"/>
        <c:axId val="64680900"/>
      </c:areaChart>
      <c:catAx>
        <c:axId val="1464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0900"/>
        <c:crosses val="autoZero"/>
        <c:auto val="1"/>
        <c:lblOffset val="100"/>
        <c:tickLblSkip val="1"/>
        <c:noMultiLvlLbl val="0"/>
      </c:catAx>
      <c:valAx>
        <c:axId val="64680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43307"/>
        <c:crossesAt val="1"/>
        <c:crossBetween val="midCat"/>
        <c:dispUnits/>
        <c:majorUnit val="4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FACTURACIÓN POR VENTA FINAL DE ENERGÍA ELÉCTRICA AL MERCADO LIBRE Y REGULADO   
</a:t>
            </a: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1995 - 2014</a:t>
            </a:r>
          </a:p>
        </c:rich>
      </c:tx>
      <c:layout>
        <c:manualLayout>
          <c:xMode val="factor"/>
          <c:yMode val="factor"/>
          <c:x val="0.02025"/>
          <c:y val="0.008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405"/>
          <c:y val="0.1855"/>
          <c:w val="0.96025"/>
          <c:h val="0.8265"/>
        </c:manualLayout>
      </c:layout>
      <c:areaChart>
        <c:grouping val="stacked"/>
        <c:varyColors val="0"/>
        <c:ser>
          <c:idx val="0"/>
          <c:order val="0"/>
          <c:tx>
            <c:strRef>
              <c:f>'10.7 FACTURAC-2014'!$O$40</c:f>
              <c:strCache>
                <c:ptCount val="1"/>
                <c:pt idx="0">
                  <c:v>Regulados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FACTURAC-2014'!$N$41:$N$60</c:f>
              <c:numCache/>
            </c:numRef>
          </c:cat>
          <c:val>
            <c:numRef>
              <c:f>'10.7 FACTURAC-2014'!$O$41:$O$60</c:f>
              <c:numCache/>
            </c:numRef>
          </c:val>
        </c:ser>
        <c:ser>
          <c:idx val="1"/>
          <c:order val="1"/>
          <c:tx>
            <c:strRef>
              <c:f>'10.7 FACTURAC-2014'!$P$40</c:f>
              <c:strCache>
                <c:ptCount val="1"/>
                <c:pt idx="0">
                  <c:v>Libres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AD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FACTURAC-2014'!$N$41:$N$60</c:f>
              <c:numCache/>
            </c:numRef>
          </c:cat>
          <c:val>
            <c:numRef>
              <c:f>'10.7 FACTURAC-2014'!$P$41:$P$60</c:f>
              <c:numCache/>
            </c:numRef>
          </c:val>
        </c:ser>
        <c:axId val="45257189"/>
        <c:axId val="4661518"/>
      </c:areaChart>
      <c:catAx>
        <c:axId val="4525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518"/>
        <c:crosses val="autoZero"/>
        <c:auto val="1"/>
        <c:lblOffset val="100"/>
        <c:tickLblSkip val="1"/>
        <c:noMultiLvlLbl val="0"/>
      </c:catAx>
      <c:valAx>
        <c:axId val="4661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US $</a:t>
                </a:r>
              </a:p>
            </c:rich>
          </c:tx>
          <c:layout>
            <c:manualLayout>
              <c:xMode val="factor"/>
              <c:yMode val="factor"/>
              <c:x val="-0.0175"/>
              <c:y val="0.04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5718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FACTURACIÓN POR VENTA DE ENERGÍA SEGÚN TIPO DE EMPRESA
1995 - 2014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4575"/>
          <c:y val="0.1615"/>
          <c:w val="0.9515"/>
          <c:h val="0.8245"/>
        </c:manualLayout>
      </c:layout>
      <c:areaChart>
        <c:grouping val="stacked"/>
        <c:varyColors val="0"/>
        <c:ser>
          <c:idx val="0"/>
          <c:order val="0"/>
          <c:tx>
            <c:strRef>
              <c:f>'10.7 FACTURAC-2014'!$O$64</c:f>
              <c:strCache>
                <c:ptCount val="1"/>
                <c:pt idx="0">
                  <c:v>Distribuidoras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FACTURAC-2014'!$N$65:$N$84</c:f>
              <c:numCache/>
            </c:numRef>
          </c:cat>
          <c:val>
            <c:numRef>
              <c:f>'10.7 FACTURAC-2014'!$O$65:$O$84</c:f>
              <c:numCache/>
            </c:numRef>
          </c:val>
        </c:ser>
        <c:ser>
          <c:idx val="1"/>
          <c:order val="1"/>
          <c:tx>
            <c:strRef>
              <c:f>'10.7 FACTURAC-2014'!$P$64</c:f>
              <c:strCache>
                <c:ptCount val="1"/>
                <c:pt idx="0">
                  <c:v>Generadoras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AAD4A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FACTURAC-2014'!$N$65:$N$84</c:f>
              <c:numCache/>
            </c:numRef>
          </c:cat>
          <c:val>
            <c:numRef>
              <c:f>'10.7 FACTURAC-2014'!$P$65:$P$84</c:f>
              <c:numCache/>
            </c:numRef>
          </c:val>
        </c:ser>
        <c:axId val="41953663"/>
        <c:axId val="42038648"/>
      </c:areaChart>
      <c:catAx>
        <c:axId val="4195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38648"/>
        <c:crosses val="autoZero"/>
        <c:auto val="1"/>
        <c:lblOffset val="100"/>
        <c:tickLblSkip val="1"/>
        <c:noMultiLvlLbl val="0"/>
      </c:catAx>
      <c:valAx>
        <c:axId val="420386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US $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5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3663"/>
        <c:crossesAt val="1"/>
        <c:crossBetween val="midCat"/>
        <c:dispUnits/>
        <c:majorUnit val="500000"/>
        <c:minorUnit val="20000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EVOLUCIÓN DEl PRECIO MEDIO DE ENERGÍA ELÉCTRICA AL MERCADO LIBRE Y REGULADO 1995 - 2014</a:t>
            </a:r>
          </a:p>
        </c:rich>
      </c:tx>
      <c:layout>
        <c:manualLayout>
          <c:xMode val="factor"/>
          <c:yMode val="factor"/>
          <c:x val="-0.00125"/>
          <c:y val="-0.02175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6325"/>
          <c:y val="0.1325"/>
          <c:w val="0.84525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 PRECIO MEDIO'!$O$12</c:f>
              <c:strCache>
                <c:ptCount val="1"/>
                <c:pt idx="0">
                  <c:v>Regulados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66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'10.8 PRECIO MEDIO'!$N$14:$N$33</c:f>
              <c:strCache/>
            </c:strRef>
          </c:cat>
          <c:val>
            <c:numRef>
              <c:f>'10.8 PRECIO MEDIO'!$O$14:$O$33</c:f>
              <c:numCache/>
            </c:numRef>
          </c:val>
        </c:ser>
        <c:ser>
          <c:idx val="1"/>
          <c:order val="1"/>
          <c:tx>
            <c:strRef>
              <c:f>'10.8 PRECIO MEDIO'!$P$12</c:f>
              <c:strCache>
                <c:ptCount val="1"/>
                <c:pt idx="0">
                  <c:v>Libres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'10.8 PRECIO MEDIO'!$N$14:$N$33</c:f>
              <c:strCache/>
            </c:strRef>
          </c:cat>
          <c:val>
            <c:numRef>
              <c:f>'10.8 PRECIO MEDIO'!$P$14:$P$33</c:f>
              <c:numCache/>
            </c:numRef>
          </c:val>
        </c:ser>
        <c:axId val="42803513"/>
        <c:axId val="49687298"/>
      </c:bar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87298"/>
        <c:crosses val="autoZero"/>
        <c:auto val="1"/>
        <c:lblOffset val="100"/>
        <c:tickLblSkip val="1"/>
        <c:noMultiLvlLbl val="0"/>
      </c:catAx>
      <c:valAx>
        <c:axId val="49687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 $/kWh</a:t>
                </a:r>
              </a:p>
            </c:rich>
          </c:tx>
          <c:layout>
            <c:manualLayout>
              <c:xMode val="factor"/>
              <c:yMode val="factor"/>
              <c:x val="-0.004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03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4"/>
          <c:y val="0.89775"/>
          <c:w val="0.206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EVOLUCIÓN DEL PRECIO MEDIO DE ENERGÍA POR TIPO DE EMPRESA
1995 - 2014</a:t>
            </a:r>
          </a:p>
        </c:rich>
      </c:tx>
      <c:layout>
        <c:manualLayout>
          <c:xMode val="factor"/>
          <c:yMode val="factor"/>
          <c:x val="0.00925"/>
          <c:y val="-0.003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13125"/>
          <c:y val="0.191"/>
          <c:w val="0.799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 PRECIO MEDIO'!$O$40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996633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'10.8 PRECIO MEDIO'!$N$43:$N$62</c:f>
              <c:strCache/>
            </c:strRef>
          </c:cat>
          <c:val>
            <c:numRef>
              <c:f>'10.8 PRECIO MEDIO'!$O$43:$O$62</c:f>
              <c:numCache/>
            </c:numRef>
          </c:val>
        </c:ser>
        <c:ser>
          <c:idx val="1"/>
          <c:order val="1"/>
          <c:tx>
            <c:strRef>
              <c:f>'10.8 PRECIO MEDIO'!$P$40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'10.8 PRECIO MEDIO'!$N$43:$N$62</c:f>
              <c:strCache/>
            </c:strRef>
          </c:cat>
          <c:val>
            <c:numRef>
              <c:f>'10.8 PRECIO MEDIO'!$P$43:$P$62</c:f>
              <c:numCache/>
            </c:numRef>
          </c:val>
        </c:ser>
        <c:axId val="44532499"/>
        <c:axId val="65248172"/>
      </c:bar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48172"/>
        <c:crosses val="autoZero"/>
        <c:auto val="1"/>
        <c:lblOffset val="100"/>
        <c:tickLblSkip val="1"/>
        <c:noMultiLvlLbl val="0"/>
      </c:catAx>
      <c:valAx>
        <c:axId val="65248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 $/kWh</a:t>
                </a:r>
              </a:p>
            </c:rich>
          </c:tx>
          <c:layout>
            <c:manualLayout>
              <c:xMode val="factor"/>
              <c:yMode val="factor"/>
              <c:x val="-0.025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32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75"/>
          <c:y val="0.8755"/>
          <c:w val="0.353"/>
          <c:h val="0.0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LAS VENTAS POR SECTOR ECONÓMICO</a:t>
            </a:r>
          </a:p>
        </c:rich>
      </c:tx>
      <c:layout>
        <c:manualLayout>
          <c:xMode val="factor"/>
          <c:yMode val="factor"/>
          <c:x val="0.0485"/>
          <c:y val="0"/>
        </c:manualLayout>
      </c:layout>
      <c:spPr>
        <a:solidFill>
          <a:srgbClr val="7F7F7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75"/>
          <c:y val="0.0745"/>
          <c:w val="0.903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'10.9 VENTAS-CIIU-2014'!$O$58</c:f>
              <c:strCache>
                <c:ptCount val="1"/>
                <c:pt idx="0">
                  <c:v>Industrial</c:v>
                </c:pt>
              </c:strCache>
            </c:strRef>
          </c:tx>
          <c:spPr>
            <a:ln w="127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'10.9 VENTAS-CIIU-2014'!$P$57:$AL$57</c:f>
              <c:numCache/>
            </c:numRef>
          </c:cat>
          <c:val>
            <c:numRef>
              <c:f>'10.9 VENTAS-CIIU-2014'!$P$58:$AL$58</c:f>
              <c:numCache/>
            </c:numRef>
          </c:val>
          <c:smooth val="0"/>
        </c:ser>
        <c:ser>
          <c:idx val="1"/>
          <c:order val="1"/>
          <c:tx>
            <c:strRef>
              <c:f>'10.9 VENTAS-CIIU-2014'!$O$59</c:f>
              <c:strCache>
                <c:ptCount val="1"/>
                <c:pt idx="0">
                  <c:v>Comercial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'10.9 VENTAS-CIIU-2014'!$P$57:$AL$57</c:f>
              <c:numCache/>
            </c:numRef>
          </c:cat>
          <c:val>
            <c:numRef>
              <c:f>'10.9 VENTAS-CIIU-2014'!$P$59:$AL$59</c:f>
              <c:numCache/>
            </c:numRef>
          </c:val>
          <c:smooth val="0"/>
        </c:ser>
        <c:ser>
          <c:idx val="2"/>
          <c:order val="2"/>
          <c:tx>
            <c:strRef>
              <c:f>'10.9 VENTAS-CIIU-2014'!$O$60</c:f>
              <c:strCache>
                <c:ptCount val="1"/>
                <c:pt idx="0">
                  <c:v>Residencial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'10.9 VENTAS-CIIU-2014'!$P$57:$AL$57</c:f>
              <c:numCache/>
            </c:numRef>
          </c:cat>
          <c:val>
            <c:numRef>
              <c:f>'10.9 VENTAS-CIIU-2014'!$P$60:$AL$60</c:f>
              <c:numCache/>
            </c:numRef>
          </c:val>
          <c:smooth val="0"/>
        </c:ser>
        <c:ser>
          <c:idx val="3"/>
          <c:order val="3"/>
          <c:tx>
            <c:strRef>
              <c:f>'10.9 VENTAS-CIIU-2014'!$O$61</c:f>
              <c:strCache>
                <c:ptCount val="1"/>
                <c:pt idx="0">
                  <c:v>Alumbrado Público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cat>
            <c:numRef>
              <c:f>'10.9 VENTAS-CIIU-2014'!$P$57:$AL$57</c:f>
              <c:numCache/>
            </c:numRef>
          </c:cat>
          <c:val>
            <c:numRef>
              <c:f>'10.9 VENTAS-CIIU-2014'!$P$61:$AL$61</c:f>
              <c:numCache/>
            </c:numRef>
          </c:val>
          <c:smooth val="0"/>
        </c:ser>
        <c:marker val="1"/>
        <c:axId val="50362637"/>
        <c:axId val="50610550"/>
      </c:line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0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10550"/>
        <c:crosses val="autoZero"/>
        <c:auto val="1"/>
        <c:lblOffset val="100"/>
        <c:tickLblSkip val="1"/>
        <c:noMultiLvlLbl val="0"/>
      </c:catAx>
      <c:valAx>
        <c:axId val="50610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4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2637"/>
        <c:crossesAt val="1"/>
        <c:crossBetween val="between"/>
        <c:dispUnits/>
        <c:majorUnit val="2000"/>
        <c:minorUnit val="4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75"/>
          <c:y val="0.94075"/>
          <c:w val="0.7745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FACTURACIÓN DE ENERGÍA ELÉCTRICA POR SECTORES DE CONSUMO  1995 - 2014</a:t>
            </a:r>
          </a:p>
        </c:rich>
      </c:tx>
      <c:layout>
        <c:manualLayout>
          <c:xMode val="factor"/>
          <c:yMode val="factor"/>
          <c:x val="0.02375"/>
          <c:y val="-0.007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21"/>
          <c:y val="0.1065"/>
          <c:w val="0.966"/>
          <c:h val="0.845"/>
        </c:manualLayout>
      </c:layout>
      <c:areaChart>
        <c:grouping val="stacked"/>
        <c:varyColors val="0"/>
        <c:ser>
          <c:idx val="0"/>
          <c:order val="0"/>
          <c:tx>
            <c:strRef>
              <c:f>'10.10 FACT-SECTOR'!$N$10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FACT-SECTOR'!$M$11:$M$30</c:f>
              <c:numCache/>
            </c:numRef>
          </c:cat>
          <c:val>
            <c:numRef>
              <c:f>'10.10 FACT-SECTOR'!$N$11:$N$30</c:f>
              <c:numCache/>
            </c:numRef>
          </c:val>
        </c:ser>
        <c:ser>
          <c:idx val="1"/>
          <c:order val="1"/>
          <c:tx>
            <c:strRef>
              <c:f>'10.10 FACT-SECTOR'!$O$10</c:f>
              <c:strCache>
                <c:ptCount val="1"/>
                <c:pt idx="0">
                  <c:v>Comercial</c:v>
                </c:pt>
              </c:strCache>
            </c:strRef>
          </c:tx>
          <c:spPr>
            <a:gradFill rotWithShape="1">
              <a:gsLst>
                <a:gs pos="0">
                  <a:srgbClr val="728F72"/>
                </a:gs>
                <a:gs pos="50000">
                  <a:srgbClr val="CCFFCC"/>
                </a:gs>
                <a:gs pos="100000">
                  <a:srgbClr val="728F7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FACT-SECTOR'!$M$11:$M$30</c:f>
              <c:numCache/>
            </c:numRef>
          </c:cat>
          <c:val>
            <c:numRef>
              <c:f>'10.10 FACT-SECTOR'!$O$11:$O$30</c:f>
              <c:numCache/>
            </c:numRef>
          </c:val>
        </c:ser>
        <c:ser>
          <c:idx val="2"/>
          <c:order val="2"/>
          <c:tx>
            <c:strRef>
              <c:f>'10.10 FACT-SECTOR'!$P$10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FACT-SECTOR'!$M$11:$M$30</c:f>
              <c:numCache/>
            </c:numRef>
          </c:cat>
          <c:val>
            <c:numRef>
              <c:f>'10.10 FACT-SECTOR'!$P$11:$P$30</c:f>
              <c:numCache/>
            </c:numRef>
          </c:val>
        </c:ser>
        <c:ser>
          <c:idx val="3"/>
          <c:order val="3"/>
          <c:tx>
            <c:strRef>
              <c:f>'10.10 FACT-SECTOR'!$Q$10</c:f>
              <c:strCache>
                <c:ptCount val="1"/>
                <c:pt idx="0">
                  <c:v>Alumbrado Publico</c:v>
                </c:pt>
              </c:strCache>
            </c:strRef>
          </c:tx>
          <c:spPr>
            <a:gradFill rotWithShape="1">
              <a:gsLst>
                <a:gs pos="0">
                  <a:srgbClr val="A9A900"/>
                </a:gs>
                <a:gs pos="50000">
                  <a:srgbClr val="FFFF00"/>
                </a:gs>
                <a:gs pos="100000">
                  <a:srgbClr val="A9A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FACT-SECTOR'!$M$11:$M$30</c:f>
              <c:numCache/>
            </c:numRef>
          </c:cat>
          <c:val>
            <c:numRef>
              <c:f>'10.10 FACT-SECTOR'!$Q$11:$Q$30</c:f>
              <c:numCache/>
            </c:numRef>
          </c:val>
        </c:ser>
        <c:axId val="52841767"/>
        <c:axId val="5813856"/>
      </c:areaChart>
      <c:catAx>
        <c:axId val="528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3856"/>
        <c:crosses val="autoZero"/>
        <c:auto val="1"/>
        <c:lblOffset val="100"/>
        <c:tickLblSkip val="1"/>
        <c:noMultiLvlLbl val="0"/>
      </c:catAx>
      <c:valAx>
        <c:axId val="5813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US $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4176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POTENCIA INSTALADA - GENERADORAS PARA USO PROPIO 
1 995 - 2 014</a:t>
            </a:r>
          </a:p>
        </c:rich>
      </c:tx>
      <c:layout>
        <c:manualLayout>
          <c:xMode val="factor"/>
          <c:yMode val="factor"/>
          <c:x val="-0.00925"/>
          <c:y val="0.006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675"/>
          <c:y val="0.19275"/>
          <c:w val="0.873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PI-2014'!$R$58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PI-2014'!$Q$59:$Q$78</c:f>
              <c:numCache/>
            </c:numRef>
          </c:cat>
          <c:val>
            <c:numRef>
              <c:f>'10.1 PI-2014'!$R$59:$R$78</c:f>
              <c:numCache/>
            </c:numRef>
          </c:val>
        </c:ser>
        <c:ser>
          <c:idx val="1"/>
          <c:order val="1"/>
          <c:tx>
            <c:strRef>
              <c:f>'10.1 PI-2014'!$S$58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1F497D"/>
            </a:solidFill>
            <a:ln w="127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PI-2014'!$Q$59:$Q$78</c:f>
              <c:numCache/>
            </c:numRef>
          </c:cat>
          <c:val>
            <c:numRef>
              <c:f>'10.1 PI-2014'!$S$59:$S$78</c:f>
              <c:numCache/>
            </c:numRef>
          </c:val>
        </c:ser>
        <c:ser>
          <c:idx val="2"/>
          <c:order val="2"/>
          <c:tx>
            <c:strRef>
              <c:f>'10.1 PI-2014'!$T$58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PI-2014'!$Q$59:$Q$78</c:f>
              <c:numCache/>
            </c:numRef>
          </c:cat>
          <c:val>
            <c:numRef>
              <c:f>'10.1 PI-2014'!$T$59:$T$78</c:f>
              <c:numCache/>
            </c:numRef>
          </c:val>
        </c:ser>
        <c:axId val="22161517"/>
        <c:axId val="65235926"/>
      </c:bar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35926"/>
        <c:crosses val="autoZero"/>
        <c:auto val="1"/>
        <c:lblOffset val="100"/>
        <c:tickLblSkip val="1"/>
        <c:noMultiLvlLbl val="0"/>
      </c:catAx>
      <c:valAx>
        <c:axId val="6523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61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625"/>
          <c:y val="0.88775"/>
          <c:w val="0.352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PRECIO MEDIO DE ENERGÍA ELÉCTRICA POR SECTORES ECONÓMICOS 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1 995 - 2 014</a:t>
            </a:r>
          </a:p>
        </c:rich>
      </c:tx>
      <c:layout>
        <c:manualLayout>
          <c:xMode val="factor"/>
          <c:yMode val="factor"/>
          <c:x val="0.03525"/>
          <c:y val="-0.0205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3375"/>
          <c:y val="0.12325"/>
          <c:w val="0.953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'10.11 PM-SECTOR'!$B$6</c:f>
              <c:strCache>
                <c:ptCount val="1"/>
                <c:pt idx="0">
                  <c:v>Industrial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A0E0E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PM-SECTOR'!$A$9:$A$28</c:f>
              <c:numCache/>
            </c:numRef>
          </c:cat>
          <c:val>
            <c:numRef>
              <c:f>'10.11 PM-SECTOR'!$B$9:$B$28</c:f>
              <c:numCache/>
            </c:numRef>
          </c:val>
          <c:smooth val="0"/>
        </c:ser>
        <c:ser>
          <c:idx val="1"/>
          <c:order val="1"/>
          <c:tx>
            <c:strRef>
              <c:f>'10.11 PM-SECTOR'!$C$6</c:f>
              <c:strCache>
                <c:ptCount val="1"/>
                <c:pt idx="0">
                  <c:v>Comercial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PM-SECTOR'!$A$9:$A$28</c:f>
              <c:numCache/>
            </c:numRef>
          </c:cat>
          <c:val>
            <c:numRef>
              <c:f>'10.11 PM-SECTOR'!$C$9:$C$28</c:f>
              <c:numCache/>
            </c:numRef>
          </c:val>
          <c:smooth val="0"/>
        </c:ser>
        <c:ser>
          <c:idx val="2"/>
          <c:order val="2"/>
          <c:tx>
            <c:strRef>
              <c:f>'10.11 PM-SECTOR'!$D$6</c:f>
              <c:strCache>
                <c:ptCount val="1"/>
                <c:pt idx="0">
                  <c:v>Residencial</c:v>
                </c:pt>
              </c:strCache>
            </c:strRef>
          </c:tx>
          <c:spPr>
            <a:ln w="254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PM-SECTOR'!$A$9:$A$28</c:f>
              <c:numCache/>
            </c:numRef>
          </c:cat>
          <c:val>
            <c:numRef>
              <c:f>'10.11 PM-SECTOR'!$D$9:$D$28</c:f>
              <c:numCache/>
            </c:numRef>
          </c:val>
          <c:smooth val="0"/>
        </c:ser>
        <c:ser>
          <c:idx val="3"/>
          <c:order val="3"/>
          <c:tx>
            <c:strRef>
              <c:f>'10.11 PM-SECTOR'!$E$6</c:f>
              <c:strCache>
                <c:ptCount val="1"/>
                <c:pt idx="0">
                  <c:v>Alumbrado Público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PM-SECTOR'!$A$9:$A$28</c:f>
              <c:numCache/>
            </c:numRef>
          </c:cat>
          <c:val>
            <c:numRef>
              <c:f>'10.11 PM-SECTOR'!$E$9:$E$28</c:f>
              <c:numCache/>
            </c:numRef>
          </c:val>
          <c:smooth val="0"/>
        </c:ser>
        <c:marker val="1"/>
        <c:axId val="52324705"/>
        <c:axId val="1160298"/>
      </c:line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0298"/>
        <c:crosses val="autoZero"/>
        <c:auto val="1"/>
        <c:lblOffset val="100"/>
        <c:tickLblSkip val="1"/>
        <c:noMultiLvlLbl val="0"/>
      </c:catAx>
      <c:valAx>
        <c:axId val="1160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US$/kW.h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24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325"/>
          <c:y val="0.93825"/>
          <c:w val="0.714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CONSUMO DE ENERGÍA ELÉCTRICA POR TIPO DE EMPRESA
1995 - 2014</a:t>
            </a:r>
          </a:p>
        </c:rich>
      </c:tx>
      <c:layout>
        <c:manualLayout>
          <c:xMode val="factor"/>
          <c:yMode val="factor"/>
          <c:x val="0.031"/>
          <c:y val="-0.0135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15"/>
          <c:w val="0.917"/>
          <c:h val="0.755"/>
        </c:manualLayout>
      </c:layout>
      <c:lineChart>
        <c:grouping val="standard"/>
        <c:varyColors val="0"/>
        <c:ser>
          <c:idx val="0"/>
          <c:order val="0"/>
          <c:tx>
            <c:v>Consumo total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'10.12 CONSUMO_2014 '!$B$8:$B$27</c:f>
              <c:numCache/>
            </c:numRef>
          </c:cat>
          <c:val>
            <c:numRef>
              <c:f>'10.12 CONSUMO_2014 '!$C$8:$C$27</c:f>
              <c:numCache/>
            </c:numRef>
          </c:val>
          <c:smooth val="0"/>
        </c:ser>
        <c:ser>
          <c:idx val="1"/>
          <c:order val="1"/>
          <c:tx>
            <c:v>Ventas Distribuidoras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'10.12 CONSUMO_2014 '!$B$8:$B$27</c:f>
              <c:numCache/>
            </c:numRef>
          </c:cat>
          <c:val>
            <c:numRef>
              <c:f>'10.12 CONSUMO_2014 '!$E$8:$E$27</c:f>
              <c:numCache/>
            </c:numRef>
          </c:val>
          <c:smooth val="0"/>
        </c:ser>
        <c:ser>
          <c:idx val="2"/>
          <c:order val="2"/>
          <c:tx>
            <c:v>Ventas Generadoras</c:v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9933"/>
                </a:solidFill>
              </a:ln>
            </c:spPr>
          </c:marker>
          <c:cat>
            <c:numRef>
              <c:f>'10.12 CONSUMO_2014 '!$B$8:$B$27</c:f>
              <c:numCache/>
            </c:numRef>
          </c:cat>
          <c:val>
            <c:numRef>
              <c:f>'10.12 CONSUMO_2014 '!$F$8:$F$27</c:f>
              <c:numCache/>
            </c:numRef>
          </c:val>
          <c:smooth val="0"/>
        </c:ser>
        <c:ser>
          <c:idx val="3"/>
          <c:order val="3"/>
          <c:tx>
            <c:strRef>
              <c:f>'10.12 CONSUMO_2014 '!$G$6:$G$7</c:f>
              <c:strCache>
                <c:ptCount val="1"/>
                <c:pt idx="0">
                  <c:v>Generación de uso propio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'10.12 CONSUMO_2014 '!$B$8:$B$27</c:f>
              <c:numCache/>
            </c:numRef>
          </c:cat>
          <c:val>
            <c:numRef>
              <c:f>'10.12 CONSUMO_2014 '!$G$8:$G$27</c:f>
              <c:numCache/>
            </c:numRef>
          </c:val>
          <c:smooth val="0"/>
        </c:ser>
        <c:marker val="1"/>
        <c:axId val="10442683"/>
        <c:axId val="26875284"/>
      </c:lineChart>
      <c:catAx>
        <c:axId val="10442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75284"/>
        <c:crosses val="autoZero"/>
        <c:auto val="1"/>
        <c:lblOffset val="100"/>
        <c:tickLblSkip val="1"/>
        <c:noMultiLvlLbl val="0"/>
      </c:catAx>
      <c:valAx>
        <c:axId val="2687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26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025"/>
          <c:y val="0.9075"/>
          <c:w val="0.6365"/>
          <c:h val="0.0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CONSUMO DE ENERGÍA ELÉCTRICA TIPO DE  SERVICIO
1995 - 2014</a:t>
            </a:r>
          </a:p>
        </c:rich>
      </c:tx>
      <c:layout>
        <c:manualLayout>
          <c:xMode val="factor"/>
          <c:yMode val="factor"/>
          <c:x val="0.03325"/>
          <c:y val="0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52"/>
          <c:y val="0.13225"/>
          <c:w val="0.90975"/>
          <c:h val="0.76775"/>
        </c:manualLayout>
      </c:layout>
      <c:areaChart>
        <c:grouping val="stacked"/>
        <c:varyColors val="0"/>
        <c:ser>
          <c:idx val="0"/>
          <c:order val="0"/>
          <c:tx>
            <c:strRef>
              <c:f>'10.12 CONSUMO_2014 '!$D$6:$F$6</c:f>
              <c:strCache>
                <c:ptCount val="1"/>
                <c:pt idx="0">
                  <c:v>Ventas a Cliente Final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'10.12 CONSUMO_2014 '!$B$8:$B$27</c:f>
              <c:numCache/>
            </c:numRef>
          </c:cat>
          <c:val>
            <c:numRef>
              <c:f>'10.12 CONSUMO_2014 '!$D$8:$D$27</c:f>
              <c:numCache/>
            </c:numRef>
          </c:val>
        </c:ser>
        <c:ser>
          <c:idx val="3"/>
          <c:order val="1"/>
          <c:tx>
            <c:strRef>
              <c:f>'10.12 CONSUMO_2014 '!$G$6:$G$7</c:f>
              <c:strCache>
                <c:ptCount val="1"/>
                <c:pt idx="0">
                  <c:v>Generación de uso propio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'10.12 CONSUMO_2014 '!$B$8:$B$27</c:f>
              <c:numCache/>
            </c:numRef>
          </c:cat>
          <c:val>
            <c:numRef>
              <c:f>'10.12 CONSUMO_2014 '!$G$8:$G$27</c:f>
              <c:numCache/>
            </c:numRef>
          </c:val>
        </c:ser>
        <c:axId val="40550965"/>
        <c:axId val="29414366"/>
      </c:areaChart>
      <c:catAx>
        <c:axId val="40550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14366"/>
        <c:crosses val="autoZero"/>
        <c:auto val="1"/>
        <c:lblOffset val="100"/>
        <c:tickLblSkip val="1"/>
        <c:noMultiLvlLbl val="0"/>
      </c:catAx>
      <c:valAx>
        <c:axId val="29414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509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"/>
          <c:y val="0.92475"/>
          <c:w val="0.5652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NÚMERO DE CLIENTES EN EL MERCADO LIBRE </a:t>
            </a:r>
          </a:p>
        </c:rich>
      </c:tx>
      <c:layout>
        <c:manualLayout>
          <c:xMode val="factor"/>
          <c:yMode val="factor"/>
          <c:x val="0.0515"/>
          <c:y val="-0.006"/>
        </c:manualLayout>
      </c:layout>
      <c:spPr>
        <a:solidFill>
          <a:srgbClr val="7F7F7F"/>
        </a:solidFill>
        <a:ln w="3175">
          <a:noFill/>
        </a:ln>
      </c:spPr>
    </c:title>
    <c:view3D>
      <c:rotX val="1"/>
      <c:hPercent val="38"/>
      <c:rotY val="0"/>
      <c:depthPercent val="100"/>
      <c:rAngAx val="1"/>
    </c:view3D>
    <c:plotArea>
      <c:layout>
        <c:manualLayout>
          <c:xMode val="edge"/>
          <c:yMode val="edge"/>
          <c:x val="0.01825"/>
          <c:y val="0.11875"/>
          <c:w val="0.978"/>
          <c:h val="0.76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'10.13 CLIENTES-2014'!$R$40</c:f>
              <c:strCache>
                <c:ptCount val="1"/>
                <c:pt idx="0">
                  <c:v>MAT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CLIENTES-2014'!$Q$41:$Q$57</c:f>
              <c:numCache/>
            </c:numRef>
          </c:cat>
          <c:val>
            <c:numRef>
              <c:f>'10.13 CLIENTES-2014'!$R$41:$R$57</c:f>
              <c:numCache/>
            </c:numRef>
          </c:val>
          <c:shape val="box"/>
        </c:ser>
        <c:ser>
          <c:idx val="1"/>
          <c:order val="1"/>
          <c:tx>
            <c:strRef>
              <c:f>'10.13 CLIENTES-2014'!$S$40</c:f>
              <c:strCache>
                <c:ptCount val="1"/>
                <c:pt idx="0">
                  <c:v>AT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50000">
                  <a:srgbClr val="FF0000"/>
                </a:gs>
                <a:gs pos="100000">
                  <a:srgbClr val="76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CLIENTES-2014'!$Q$41:$Q$57</c:f>
              <c:numCache/>
            </c:numRef>
          </c:cat>
          <c:val>
            <c:numRef>
              <c:f>'10.13 CLIENTES-2014'!$S$41:$S$57</c:f>
              <c:numCache/>
            </c:numRef>
          </c:val>
          <c:shape val="box"/>
        </c:ser>
        <c:ser>
          <c:idx val="2"/>
          <c:order val="2"/>
          <c:tx>
            <c:strRef>
              <c:f>'10.13 CLIENTES-2014'!$T$40</c:f>
              <c:strCache>
                <c:ptCount val="1"/>
                <c:pt idx="0">
                  <c:v>MT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CLIENTES-2014'!$Q$41:$Q$57</c:f>
              <c:numCache/>
            </c:numRef>
          </c:cat>
          <c:val>
            <c:numRef>
              <c:f>'10.13 CLIENTES-2014'!$T$41:$T$57</c:f>
              <c:numCache/>
            </c:numRef>
          </c:val>
          <c:shape val="box"/>
        </c:ser>
        <c:shape val="box"/>
        <c:axId val="63402703"/>
        <c:axId val="33753416"/>
      </c:bar3DChart>
      <c:catAx>
        <c:axId val="6340270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9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53416"/>
        <c:crosses val="autoZero"/>
        <c:auto val="1"/>
        <c:lblOffset val="100"/>
        <c:tickLblSkip val="1"/>
        <c:noMultiLvlLbl val="0"/>
      </c:catAx>
      <c:valAx>
        <c:axId val="33753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de Clientes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270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75"/>
          <c:y val="0.92025"/>
          <c:w val="0.298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969696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NÚMERO DE CLIENTES EN EL MERCADO REGULADO </a:t>
            </a:r>
          </a:p>
        </c:rich>
      </c:tx>
      <c:layout>
        <c:manualLayout>
          <c:xMode val="factor"/>
          <c:yMode val="factor"/>
          <c:x val="0.047"/>
          <c:y val="-0.00325"/>
        </c:manualLayout>
      </c:layout>
      <c:spPr>
        <a:solidFill>
          <a:srgbClr val="7F7F7F"/>
        </a:solidFill>
        <a:ln w="3175">
          <a:noFill/>
        </a:ln>
      </c:spPr>
    </c:title>
    <c:view3D>
      <c:rotX val="0"/>
      <c:hPercent val="37"/>
      <c:rotY val="0"/>
      <c:depthPercent val="100"/>
      <c:rAngAx val="1"/>
    </c:view3D>
    <c:plotArea>
      <c:layout>
        <c:manualLayout>
          <c:xMode val="edge"/>
          <c:yMode val="edge"/>
          <c:x val="0.0035"/>
          <c:y val="0.14075"/>
          <c:w val="0.99475"/>
          <c:h val="0.859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'10.13 CLIENTES-2014'!$AA$40</c:f>
              <c:strCache>
                <c:ptCount val="1"/>
                <c:pt idx="0">
                  <c:v>BT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CLIENTES-2014'!$Q$41:$Q$57</c:f>
              <c:numCache/>
            </c:numRef>
          </c:cat>
          <c:val>
            <c:numRef>
              <c:f>'10.13 CLIENTES-2014'!$AA$41:$AA$57</c:f>
              <c:numCache/>
            </c:numRef>
          </c:val>
          <c:shape val="box"/>
        </c:ser>
        <c:gapWidth val="180"/>
        <c:shape val="box"/>
        <c:axId val="35345289"/>
        <c:axId val="49672146"/>
      </c:bar3DChart>
      <c:catAx>
        <c:axId val="35345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BAJA TENSIÓN</a:t>
                </a:r>
              </a:p>
            </c:rich>
          </c:tx>
          <c:layout>
            <c:manualLayout>
              <c:xMode val="factor"/>
              <c:yMode val="factor"/>
              <c:x val="0.008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2146"/>
        <c:crosses val="autoZero"/>
        <c:auto val="1"/>
        <c:lblOffset val="100"/>
        <c:tickLblSkip val="1"/>
        <c:noMultiLvlLbl val="0"/>
      </c:catAx>
      <c:valAx>
        <c:axId val="49672146"/>
        <c:scaling>
          <c:orientation val="minMax"/>
        </c:scaling>
        <c:axPos val="l"/>
        <c:title>
          <c:tx>
            <c:rich>
              <a:bodyPr vert="horz" rot="-534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de Clientes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452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69696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PORCENTAJE DE PÉRDIDAS DE ENERGÍA ELÉCTRICA EN  DISTRIBUCIÓN (%)</a:t>
            </a:r>
          </a:p>
        </c:rich>
      </c:tx>
      <c:layout>
        <c:manualLayout>
          <c:xMode val="factor"/>
          <c:yMode val="factor"/>
          <c:x val="0.03575"/>
          <c:y val="-0.003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425"/>
          <c:y val="0.1155"/>
          <c:w val="0.93075"/>
          <c:h val="0.753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10.16'!$A$39:$A$59</c:f>
              <c:numCache/>
            </c:numRef>
          </c:cat>
          <c:val>
            <c:numRef>
              <c:f>'10.14 -10.15  y 10.16'!$B$39:$B$59</c:f>
              <c:numCache/>
            </c:numRef>
          </c:val>
          <c:smooth val="0"/>
        </c:ser>
        <c:marker val="1"/>
        <c:axId val="44396131"/>
        <c:axId val="64020860"/>
      </c:line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020860"/>
        <c:crossesAt val="0"/>
        <c:auto val="1"/>
        <c:lblOffset val="100"/>
        <c:tickLblSkip val="1"/>
        <c:noMultiLvlLbl val="0"/>
      </c:catAx>
      <c:valAx>
        <c:axId val="64020860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396131"/>
        <c:crossesAt val="1"/>
        <c:crossBetween val="midCat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MÁXIMA DEMANDA</a:t>
            </a:r>
          </a:p>
        </c:rich>
      </c:tx>
      <c:layout>
        <c:manualLayout>
          <c:xMode val="factor"/>
          <c:yMode val="factor"/>
          <c:x val="0.0045"/>
          <c:y val="0.00925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5275"/>
          <c:y val="0.1105"/>
          <c:w val="0.927"/>
          <c:h val="0.82375"/>
        </c:manualLayout>
      </c:layout>
      <c:lineChart>
        <c:grouping val="standard"/>
        <c:varyColors val="0"/>
        <c:ser>
          <c:idx val="1"/>
          <c:order val="0"/>
          <c:tx>
            <c:strRef>
              <c:f>'10.14 -10.15  y 10.16'!$A$69:$C$69</c:f>
              <c:strCache>
                <c:ptCount val="1"/>
                <c:pt idx="0">
                  <c:v>Año Máxima Demanda (MW) </c:v>
                </c:pt>
              </c:strCache>
            </c:strRef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99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'10.14 -10.15  y 10.16'!$A$71:$A$90</c:f>
              <c:strCache/>
            </c:strRef>
          </c:cat>
          <c:val>
            <c:numRef>
              <c:f>'10.14 -10.15  y 10.16'!$B$71:$B$90</c:f>
              <c:numCache/>
            </c:numRef>
          </c:val>
          <c:smooth val="0"/>
        </c:ser>
        <c:marker val="1"/>
        <c:axId val="39316829"/>
        <c:axId val="18307142"/>
      </c:line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07142"/>
        <c:crossesAt val="0"/>
        <c:auto val="1"/>
        <c:lblOffset val="100"/>
        <c:tickLblSkip val="1"/>
        <c:noMultiLvlLbl val="0"/>
      </c:catAx>
      <c:valAx>
        <c:axId val="18307142"/>
        <c:scaling>
          <c:orientation val="minMax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(MW)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16829"/>
        <c:crossesAt val="1"/>
        <c:crossBetween val="midCat"/>
        <c:dispUnits/>
        <c:majorUnit val="500"/>
        <c:minorUnit val="5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NÚMERO DE TRABAJADORES POR ACTIVIDAD</a:t>
            </a:r>
          </a:p>
        </c:rich>
      </c:tx>
      <c:layout>
        <c:manualLayout>
          <c:xMode val="factor"/>
          <c:yMode val="factor"/>
          <c:x val="0.0105"/>
          <c:y val="0.01625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46"/>
          <c:y val="0.162"/>
          <c:w val="0.9195"/>
          <c:h val="0.69975"/>
        </c:manualLayout>
      </c:layout>
      <c:lineChart>
        <c:grouping val="standard"/>
        <c:varyColors val="0"/>
        <c:ser>
          <c:idx val="0"/>
          <c:order val="0"/>
          <c:tx>
            <c:strRef>
              <c:f>'10.14 -10.15  y 10.16'!$B$7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10.16'!$A$8:$A$27</c:f>
              <c:numCache/>
            </c:numRef>
          </c:cat>
          <c:val>
            <c:numRef>
              <c:f>'10.14 -10.15  y 10.16'!$B$8:$B$27</c:f>
              <c:numCache/>
            </c:numRef>
          </c:val>
          <c:smooth val="0"/>
        </c:ser>
        <c:ser>
          <c:idx val="1"/>
          <c:order val="1"/>
          <c:tx>
            <c:strRef>
              <c:f>'10.14 -10.15  y 10.16'!$C$7</c:f>
              <c:strCache>
                <c:ptCount val="1"/>
                <c:pt idx="0">
                  <c:v>Generadoras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10.16'!$A$8:$A$27</c:f>
              <c:numCache/>
            </c:numRef>
          </c:cat>
          <c:val>
            <c:numRef>
              <c:f>'10.14 -10.15  y 10.16'!$C$8:$C$27</c:f>
              <c:numCache/>
            </c:numRef>
          </c:val>
          <c:smooth val="0"/>
        </c:ser>
        <c:ser>
          <c:idx val="2"/>
          <c:order val="2"/>
          <c:tx>
            <c:strRef>
              <c:f>'10.14 -10.15  y 10.16'!$D$7</c:f>
              <c:strCache>
                <c:ptCount val="1"/>
                <c:pt idx="0">
                  <c:v>Transmisoras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10.16'!$A$8:$A$27</c:f>
              <c:numCache/>
            </c:numRef>
          </c:cat>
          <c:val>
            <c:numRef>
              <c:f>'10.14 -10.15  y 10.16'!$D$8:$D$27</c:f>
              <c:numCache/>
            </c:numRef>
          </c:val>
          <c:smooth val="0"/>
        </c:ser>
        <c:ser>
          <c:idx val="3"/>
          <c:order val="3"/>
          <c:tx>
            <c:strRef>
              <c:f>'10.14 -10.15  y 10.16'!$E$7</c:f>
              <c:strCache>
                <c:ptCount val="1"/>
                <c:pt idx="0">
                  <c:v>Distribuidoras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10.16'!$A$8:$A$27</c:f>
              <c:numCache/>
            </c:numRef>
          </c:cat>
          <c:val>
            <c:numRef>
              <c:f>'10.14 -10.15  y 10.16'!$E$8:$E$27</c:f>
              <c:numCache/>
            </c:numRef>
          </c:val>
          <c:smooth val="0"/>
        </c:ser>
        <c:marker val="1"/>
        <c:axId val="30546551"/>
        <c:axId val="6483504"/>
      </c:lineChart>
      <c:catAx>
        <c:axId val="3054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504"/>
        <c:crosses val="autoZero"/>
        <c:auto val="1"/>
        <c:lblOffset val="100"/>
        <c:tickLblSkip val="1"/>
        <c:noMultiLvlLbl val="0"/>
      </c:catAx>
      <c:valAx>
        <c:axId val="6483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46551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055"/>
          <c:w val="0.72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EVOLUCIÓN DE LAS INVERSIONES EJECUTADAS EN EL SECTOR ELÉCTRICO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POR EMPRESA ESTATAL* Y PRIVADA  1995 - 2014  </a:t>
            </a:r>
          </a:p>
        </c:rich>
      </c:tx>
      <c:layout>
        <c:manualLayout>
          <c:xMode val="factor"/>
          <c:yMode val="factor"/>
          <c:x val="-0.02175"/>
          <c:y val="-0.01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345"/>
          <c:y val="0.13325"/>
          <c:w val="0.901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'10.17.1 Consol Invers'!$S$9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'10.17.1 Consol Invers'!$B$11:$B$30</c:f>
              <c:strCache/>
            </c:strRef>
          </c:cat>
          <c:val>
            <c:numRef>
              <c:f>'10.17.1 Consol Invers'!$S$11:$S$30</c:f>
              <c:numCache/>
            </c:numRef>
          </c:val>
        </c:ser>
        <c:ser>
          <c:idx val="1"/>
          <c:order val="1"/>
          <c:tx>
            <c:strRef>
              <c:f>'10.17.1 Consol Invers'!$T$9</c:f>
              <c:strCache>
                <c:ptCount val="1"/>
                <c:pt idx="0">
                  <c:v>Estatal (*)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'10.17.1 Consol Invers'!$B$11:$B$30</c:f>
              <c:strCache/>
            </c:strRef>
          </c:cat>
          <c:val>
            <c:numRef>
              <c:f>'10.17.1 Consol Invers'!$T$11:$T$30</c:f>
              <c:numCache/>
            </c:numRef>
          </c:val>
        </c:ser>
        <c:ser>
          <c:idx val="2"/>
          <c:order val="2"/>
          <c:tx>
            <c:strRef>
              <c:f>'10.17.1 Consol Invers'!$U$9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'10.17.1 Consol Invers'!$B$11:$B$30</c:f>
              <c:strCache/>
            </c:strRef>
          </c:cat>
          <c:val>
            <c:numRef>
              <c:f>'10.17.1 Consol Invers'!$U$11:$U$30</c:f>
              <c:numCache/>
            </c:numRef>
          </c:val>
        </c:ser>
        <c:axId val="58351537"/>
        <c:axId val="55401786"/>
      </c:bar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01786"/>
        <c:crosses val="autoZero"/>
        <c:auto val="1"/>
        <c:lblOffset val="100"/>
        <c:tickLblSkip val="1"/>
        <c:noMultiLvlLbl val="0"/>
      </c:catAx>
      <c:valAx>
        <c:axId val="55401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 $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1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55"/>
          <c:y val="0.304"/>
          <c:w val="0.309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EVOLUCIÓN DE LAS INVERSIONES  EJECUTADAS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EN EL SECTOR ELÉCTRICO 1995-2014  </a:t>
            </a:r>
          </a:p>
        </c:rich>
      </c:tx>
      <c:layout>
        <c:manualLayout>
          <c:xMode val="factor"/>
          <c:yMode val="factor"/>
          <c:x val="-0.00775"/>
          <c:y val="-0.020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5825"/>
          <c:y val="0.13875"/>
          <c:w val="0.8947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'10.17.1 Consol Invers'!$S$89</c:f>
              <c:strCache>
                <c:ptCount val="1"/>
                <c:pt idx="0">
                  <c:v>Generadoras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66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'10.17.1 Consol Invers'!$R$90:$R$109</c:f>
              <c:strCache/>
            </c:strRef>
          </c:cat>
          <c:val>
            <c:numRef>
              <c:f>'10.17.1 Consol Invers'!$S$90:$S$109</c:f>
              <c:numCache/>
            </c:numRef>
          </c:val>
          <c:smooth val="0"/>
        </c:ser>
        <c:ser>
          <c:idx val="1"/>
          <c:order val="1"/>
          <c:tx>
            <c:strRef>
              <c:f>'10.17.1 Consol Invers'!$T$89</c:f>
              <c:strCache>
                <c:ptCount val="1"/>
                <c:pt idx="0">
                  <c:v>Transmisoras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'10.17.1 Consol Invers'!$R$90:$R$109</c:f>
              <c:strCache/>
            </c:strRef>
          </c:cat>
          <c:val>
            <c:numRef>
              <c:f>'10.17.1 Consol Invers'!$T$90:$T$109</c:f>
              <c:numCache/>
            </c:numRef>
          </c:val>
          <c:smooth val="0"/>
        </c:ser>
        <c:ser>
          <c:idx val="2"/>
          <c:order val="2"/>
          <c:tx>
            <c:strRef>
              <c:f>'10.17.1 Consol Invers'!$U$89</c:f>
              <c:strCache>
                <c:ptCount val="1"/>
                <c:pt idx="0">
                  <c:v>Distribuidoras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99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'10.17.1 Consol Invers'!$R$90:$R$109</c:f>
              <c:strCache/>
            </c:strRef>
          </c:cat>
          <c:val>
            <c:numRef>
              <c:f>'10.17.1 Consol Invers'!$U$90:$U$109</c:f>
              <c:numCache/>
            </c:numRef>
          </c:val>
          <c:smooth val="0"/>
        </c:ser>
        <c:ser>
          <c:idx val="3"/>
          <c:order val="3"/>
          <c:tx>
            <c:strRef>
              <c:f>'10.17.1 Consol Invers'!$V$89</c:f>
              <c:strCache>
                <c:ptCount val="1"/>
                <c:pt idx="0">
                  <c:v>DGER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A0E0E0"/>
              </a:solidFill>
              <a:ln>
                <a:solidFill>
                  <a:srgbClr val="A0E0E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C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'10.17.1 Consol Invers'!$R$90:$R$109</c:f>
              <c:strCache/>
            </c:strRef>
          </c:cat>
          <c:val>
            <c:numRef>
              <c:f>'10.17.1 Consol Invers'!$V$90:$V$109</c:f>
              <c:numCache/>
            </c:numRef>
          </c:val>
          <c:smooth val="0"/>
        </c:ser>
        <c:marker val="1"/>
        <c:axId val="28854027"/>
        <c:axId val="58359652"/>
      </c:lineChart>
      <c:catAx>
        <c:axId val="28854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359652"/>
        <c:crosses val="autoZero"/>
        <c:auto val="1"/>
        <c:lblOffset val="100"/>
        <c:tickLblSkip val="1"/>
        <c:noMultiLvlLbl val="0"/>
      </c:catAx>
      <c:valAx>
        <c:axId val="58359652"/>
        <c:scaling>
          <c:orientation val="minMax"/>
          <c:max val="1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 $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5402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"/>
          <c:y val="0.94875"/>
          <c:w val="0.755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POTENCIA INSTALADA 1 995 - 2 014</a:t>
            </a:r>
          </a:p>
        </c:rich>
      </c:tx>
      <c:layout>
        <c:manualLayout>
          <c:xMode val="factor"/>
          <c:yMode val="factor"/>
          <c:x val="-0.0215"/>
          <c:y val="0.065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7775"/>
          <c:y val="0.199"/>
          <c:w val="0.861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PI-2014'!$R$6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PI-2014'!$Q$7:$Q$26</c:f>
              <c:numCache/>
            </c:numRef>
          </c:cat>
          <c:val>
            <c:numRef>
              <c:f>'10.1 PI-2014'!$R$7:$R$26</c:f>
              <c:numCache/>
            </c:numRef>
          </c:val>
        </c:ser>
        <c:ser>
          <c:idx val="1"/>
          <c:order val="1"/>
          <c:tx>
            <c:strRef>
              <c:f>'10.1 PI-2014'!$S$6</c:f>
              <c:strCache>
                <c:ptCount val="1"/>
                <c:pt idx="0">
                  <c:v>Hidro</c:v>
                </c:pt>
              </c:strCache>
            </c:strRef>
          </c:tx>
          <c:spPr>
            <a:solidFill>
              <a:srgbClr val="1F497D"/>
            </a:solidFill>
            <a:ln w="127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PI-2014'!$Q$7:$Q$26</c:f>
              <c:numCache/>
            </c:numRef>
          </c:cat>
          <c:val>
            <c:numRef>
              <c:f>'10.1 PI-2014'!$S$7:$S$26</c:f>
              <c:numCache/>
            </c:numRef>
          </c:val>
        </c:ser>
        <c:ser>
          <c:idx val="2"/>
          <c:order val="2"/>
          <c:tx>
            <c:strRef>
              <c:f>'10.1 PI-2014'!$T$6</c:f>
              <c:strCache>
                <c:ptCount val="1"/>
                <c:pt idx="0">
                  <c:v>Termo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PI-2014'!$Q$7:$Q$26</c:f>
              <c:numCache/>
            </c:numRef>
          </c:cat>
          <c:val>
            <c:numRef>
              <c:f>'10.1 PI-2014'!$T$7:$T$26</c:f>
              <c:numCache/>
            </c:numRef>
          </c:val>
        </c:ser>
        <c:ser>
          <c:idx val="3"/>
          <c:order val="3"/>
          <c:tx>
            <c:strRef>
              <c:f>'10.1 PI-2014'!$U$6</c:f>
              <c:strCache>
                <c:ptCount val="1"/>
                <c:pt idx="0">
                  <c:v>Solar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 PI-2014'!$Q$7:$Q$26</c:f>
              <c:numCache/>
            </c:numRef>
          </c:cat>
          <c:val>
            <c:numRef>
              <c:f>'10.1 PI-2014'!$U$7:$U$26</c:f>
              <c:numCache/>
            </c:numRef>
          </c:val>
        </c:ser>
        <c:ser>
          <c:idx val="4"/>
          <c:order val="4"/>
          <c:tx>
            <c:strRef>
              <c:f>'10.1 PI-2014'!$V$6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PI-2014'!$Q$7:$Q$26</c:f>
              <c:numCache/>
            </c:numRef>
          </c:cat>
          <c:val>
            <c:numRef>
              <c:f>'10.1 PI-2014'!$V$7:$V$26</c:f>
              <c:numCache/>
            </c:numRef>
          </c:val>
        </c:ser>
        <c:axId val="50252423"/>
        <c:axId val="49618624"/>
      </c:bar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18624"/>
        <c:crosses val="autoZero"/>
        <c:auto val="1"/>
        <c:lblOffset val="100"/>
        <c:tickLblSkip val="1"/>
        <c:noMultiLvlLbl val="0"/>
      </c:catAx>
      <c:valAx>
        <c:axId val="49618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52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8"/>
          <c:y val="0.835"/>
          <c:w val="0.652"/>
          <c:h val="0.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INVERSIONES EN EL SECTOR ELÉCTRICO
(ESTATAL, PRIVADA Y ELECTRIFICACIÓN RURAL)
PERÍODO 1995- 2014</a:t>
            </a:r>
          </a:p>
        </c:rich>
      </c:tx>
      <c:layout>
        <c:manualLayout>
          <c:xMode val="factor"/>
          <c:yMode val="factor"/>
          <c:x val="-0.01175"/>
          <c:y val="-0.0215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5325"/>
          <c:y val="0.129"/>
          <c:w val="0.9315"/>
          <c:h val="0.7335"/>
        </c:manualLayout>
      </c:layout>
      <c:lineChart>
        <c:grouping val="standard"/>
        <c:varyColors val="0"/>
        <c:ser>
          <c:idx val="1"/>
          <c:order val="0"/>
          <c:tx>
            <c:strRef>
              <c:f>'10.17.5 Evo.Graficos'!$B$18</c:f>
              <c:strCache>
                <c:ptCount val="1"/>
                <c:pt idx="0">
                  <c:v>Estatal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3399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Evo.Graficos'!$C$17:$AA$17</c:f>
              <c:numCache/>
            </c:numRef>
          </c:cat>
          <c:val>
            <c:numRef>
              <c:f>'10.17.5 Evo.Graficos'!$C$18:$AA$18</c:f>
              <c:numCache/>
            </c:numRef>
          </c:val>
          <c:smooth val="0"/>
        </c:ser>
        <c:ser>
          <c:idx val="3"/>
          <c:order val="1"/>
          <c:tx>
            <c:strRef>
              <c:f>'10.17.5 Evo.Graficos'!$B$19</c:f>
              <c:strCache>
                <c:ptCount val="1"/>
                <c:pt idx="0">
                  <c:v>Privada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Evo.Graficos'!$C$17:$AA$17</c:f>
              <c:numCache/>
            </c:numRef>
          </c:cat>
          <c:val>
            <c:numRef>
              <c:f>'10.17.5 Evo.Graficos'!$C$19:$AA$19</c:f>
              <c:numCache/>
            </c:numRef>
          </c:val>
          <c:smooth val="0"/>
        </c:ser>
        <c:ser>
          <c:idx val="2"/>
          <c:order val="2"/>
          <c:tx>
            <c:strRef>
              <c:f>'10.17.5 Evo.Graficos'!$B$20</c:f>
              <c:strCache>
                <c:ptCount val="1"/>
                <c:pt idx="0">
                  <c:v>Rural (*)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66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Evo.Graficos'!$C$17:$AA$17</c:f>
              <c:numCache/>
            </c:numRef>
          </c:cat>
          <c:val>
            <c:numRef>
              <c:f>'10.17.5 Evo.Graficos'!$C$20:$AA$20</c:f>
              <c:numCache/>
            </c:numRef>
          </c:val>
          <c:smooth val="0"/>
        </c:ser>
        <c:ser>
          <c:idx val="4"/>
          <c:order val="3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Evo.Graficos'!$C$17:$AA$17</c:f>
              <c:numCache/>
            </c:numRef>
          </c:cat>
          <c:val>
            <c:numRef>
              <c:f>'10.17.5 Evo.Graficos'!$C$11:$AA$11</c:f>
              <c:numCache/>
            </c:numRef>
          </c:val>
          <c:smooth val="0"/>
        </c:ser>
        <c:marker val="1"/>
        <c:axId val="55474821"/>
        <c:axId val="29511342"/>
      </c:lineChart>
      <c:catAx>
        <c:axId val="5547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1342"/>
        <c:crosses val="autoZero"/>
        <c:auto val="1"/>
        <c:lblOffset val="100"/>
        <c:tickLblSkip val="1"/>
        <c:noMultiLvlLbl val="0"/>
      </c:catAx>
      <c:valAx>
        <c:axId val="29511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1"/>
              <c:y val="-0.0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748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85"/>
          <c:y val="0.931"/>
          <c:w val="0.54975"/>
          <c:h val="0.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INVERSIONES EJECUTADAS 
POR LA DIRECCIÓN GENERAL DE ELECTRIFICACIÓN RURAL
PERÍODO 1995 - 2014</a:t>
            </a:r>
          </a:p>
        </c:rich>
      </c:tx>
      <c:layout>
        <c:manualLayout>
          <c:xMode val="factor"/>
          <c:yMode val="factor"/>
          <c:x val="0.00125"/>
          <c:y val="-0.01725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61"/>
          <c:y val="0.157"/>
          <c:w val="0.917"/>
          <c:h val="0.7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'10.17.5 Evo.Graficos'!$B$20</c:f>
              <c:strCache>
                <c:ptCount val="1"/>
                <c:pt idx="0">
                  <c:v>Rural (*)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'10.17.5 Evo.Graficos'!$C$17:$AA$17</c:f>
              <c:numCache/>
            </c:numRef>
          </c:cat>
          <c:val>
            <c:numRef>
              <c:f>'10.17.5 Evo.Graficos'!$C$20:$AA$20</c:f>
              <c:numCache/>
            </c:numRef>
          </c:val>
        </c:ser>
        <c:axId val="64275487"/>
        <c:axId val="41608472"/>
      </c:bar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472"/>
        <c:crosses val="autoZero"/>
        <c:auto val="1"/>
        <c:lblOffset val="100"/>
        <c:tickLblSkip val="1"/>
        <c:noMultiLvlLbl val="0"/>
      </c:catAx>
      <c:valAx>
        <c:axId val="41608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de US$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75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LAS INVERSIONES DE LAS EMPRESAS GENERADORAS
PERÍODO 1995 - 2014</a:t>
            </a:r>
          </a:p>
        </c:rich>
      </c:tx>
      <c:layout>
        <c:manualLayout>
          <c:xMode val="factor"/>
          <c:yMode val="factor"/>
          <c:x val="-0.00325"/>
          <c:y val="0.022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55"/>
          <c:y val="0.145"/>
          <c:w val="0.8965"/>
          <c:h val="0.71775"/>
        </c:manualLayout>
      </c:layout>
      <c:lineChart>
        <c:grouping val="standard"/>
        <c:varyColors val="0"/>
        <c:ser>
          <c:idx val="1"/>
          <c:order val="0"/>
          <c:tx>
            <c:strRef>
              <c:f>'10.17.5 Evo.Graficos'!$AG$34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Evo.Graficos'!$AH$33:$BF$33</c:f>
              <c:numCache/>
            </c:numRef>
          </c:cat>
          <c:val>
            <c:numRef>
              <c:f>'10.17.5 Evo.Graficos'!$AH$34:$BF$34</c:f>
              <c:numCache/>
            </c:numRef>
          </c:val>
          <c:smooth val="0"/>
        </c:ser>
        <c:ser>
          <c:idx val="0"/>
          <c:order val="1"/>
          <c:tx>
            <c:strRef>
              <c:f>'10.17.5 Evo.Graficos'!$AG$35</c:f>
              <c:strCache>
                <c:ptCount val="1"/>
                <c:pt idx="0">
                  <c:v>Privada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Evo.Graficos'!$AH$33:$BF$33</c:f>
              <c:numCache/>
            </c:numRef>
          </c:cat>
          <c:val>
            <c:numRef>
              <c:f>'10.17.5 Evo.Graficos'!$AH$35:$BF$35</c:f>
              <c:numCache/>
            </c:numRef>
          </c:val>
          <c:smooth val="0"/>
        </c:ser>
        <c:ser>
          <c:idx val="2"/>
          <c:order val="2"/>
          <c:tx>
            <c:strRef>
              <c:f>'10.17.5 Evo.Graficos'!$AG$36</c:f>
              <c:strCache>
                <c:ptCount val="1"/>
                <c:pt idx="0">
                  <c:v>Pública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Evo.Graficos'!$AH$33:$BF$33</c:f>
              <c:numCache/>
            </c:numRef>
          </c:cat>
          <c:val>
            <c:numRef>
              <c:f>'10.17.5 Evo.Graficos'!$AH$36:$BF$36</c:f>
              <c:numCache/>
            </c:numRef>
          </c:val>
          <c:smooth val="0"/>
        </c:ser>
        <c:marker val="1"/>
        <c:axId val="38931929"/>
        <c:axId val="14843042"/>
      </c:line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43042"/>
        <c:crosses val="autoZero"/>
        <c:auto val="1"/>
        <c:lblOffset val="100"/>
        <c:tickLblSkip val="1"/>
        <c:noMultiLvlLbl val="0"/>
      </c:catAx>
      <c:valAx>
        <c:axId val="14843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0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1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75"/>
          <c:y val="0.89375"/>
          <c:w val="0.372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RESUMEN - TOTAL DE INVERSIÓN HISTÓRICA ACUMULADA 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PERIODO 1995 - 2014</a:t>
            </a:r>
          </a:p>
        </c:rich>
      </c:tx>
      <c:layout>
        <c:manualLayout>
          <c:xMode val="factor"/>
          <c:yMode val="factor"/>
          <c:x val="0.053"/>
          <c:y val="0.02"/>
        </c:manualLayout>
      </c:layout>
      <c:spPr>
        <a:solidFill>
          <a:srgbClr val="7F7F7F"/>
        </a:solidFill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65"/>
          <c:y val="0.303"/>
          <c:w val="0.373"/>
          <c:h val="0.47975"/>
        </c:manualLayout>
      </c:layout>
      <c:pie3DChart>
        <c:varyColors val="1"/>
        <c:ser>
          <c:idx val="0"/>
          <c:order val="0"/>
          <c:tx>
            <c:strRef>
              <c:f>'10.17.5 Evo.Graficos'!$AB$17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'10.17.5 Evo.Graficos'!$B$18:$B$20</c:f>
              <c:strCache/>
            </c:strRef>
          </c:cat>
          <c:val>
            <c:numRef>
              <c:f>'10.17.5 Evo.Graficos'!$AB$18:$AB$20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LAS INVERSIONES DE LAS EMPRESAS DISTRIBUIDORAS
PERÍODO 1995- 2014</a:t>
            </a:r>
          </a:p>
        </c:rich>
      </c:tx>
      <c:layout>
        <c:manualLayout>
          <c:xMode val="factor"/>
          <c:yMode val="factor"/>
          <c:x val="-0.0215"/>
          <c:y val="-0.00525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5975"/>
          <c:y val="0.1295"/>
          <c:w val="0.8915"/>
          <c:h val="0.73675"/>
        </c:manualLayout>
      </c:layout>
      <c:lineChart>
        <c:grouping val="standard"/>
        <c:varyColors val="0"/>
        <c:ser>
          <c:idx val="1"/>
          <c:order val="0"/>
          <c:tx>
            <c:strRef>
              <c:f>'10.17.5 Evo.Graficos'!$AG$63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Evo.Graficos'!$AH$62:$BF$62</c:f>
              <c:numCache/>
            </c:numRef>
          </c:cat>
          <c:val>
            <c:numRef>
              <c:f>'10.17.5 Evo.Graficos'!$AH$63:$BF$63</c:f>
              <c:numCache/>
            </c:numRef>
          </c:val>
          <c:smooth val="0"/>
        </c:ser>
        <c:ser>
          <c:idx val="0"/>
          <c:order val="1"/>
          <c:tx>
            <c:strRef>
              <c:f>'10.17.5 Evo.Graficos'!$AG$64</c:f>
              <c:strCache>
                <c:ptCount val="1"/>
                <c:pt idx="0">
                  <c:v>Privada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Evo.Graficos'!$AH$62:$BF$62</c:f>
              <c:numCache/>
            </c:numRef>
          </c:cat>
          <c:val>
            <c:numRef>
              <c:f>'10.17.5 Evo.Graficos'!$AH$64:$BF$64</c:f>
              <c:numCache/>
            </c:numRef>
          </c:val>
          <c:smooth val="0"/>
        </c:ser>
        <c:ser>
          <c:idx val="2"/>
          <c:order val="2"/>
          <c:tx>
            <c:strRef>
              <c:f>'10.17.5 Evo.Graficos'!$AG$65</c:f>
              <c:strCache>
                <c:ptCount val="1"/>
                <c:pt idx="0">
                  <c:v>Pública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Evo.Graficos'!$AH$62:$BF$62</c:f>
              <c:numCache/>
            </c:numRef>
          </c:cat>
          <c:val>
            <c:numRef>
              <c:f>'10.17.5 Evo.Graficos'!$AH$65:$BF$65</c:f>
              <c:numCache/>
            </c:numRef>
          </c:val>
          <c:smooth val="0"/>
        </c:ser>
        <c:marker val="1"/>
        <c:axId val="66478515"/>
        <c:axId val="61435724"/>
      </c:line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5724"/>
        <c:crosses val="autoZero"/>
        <c:auto val="1"/>
        <c:lblOffset val="100"/>
        <c:tickLblSkip val="1"/>
        <c:noMultiLvlLbl val="0"/>
      </c:catAx>
      <c:valAx>
        <c:axId val="61435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8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15"/>
          <c:y val="0.89325"/>
          <c:w val="0.371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EVOLUCIÓN DE LAS INVERSIONES DE LAS EMPRESAS TRANSMISORAS
</a:t>
            </a:r>
            <a:r>
              <a:rPr lang="en-US" cap="none" sz="1000" b="1" i="0" u="none" baseline="0">
                <a:solidFill>
                  <a:srgbClr val="FFFFFF"/>
                </a:solidFill>
              </a:rPr>
              <a:t>PERÍODO 1995 - 2014</a:t>
            </a:r>
          </a:p>
        </c:rich>
      </c:tx>
      <c:layout>
        <c:manualLayout>
          <c:xMode val="factor"/>
          <c:yMode val="factor"/>
          <c:x val="-0.01"/>
          <c:y val="0.03275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595"/>
          <c:y val="0.12875"/>
          <c:w val="0.89175"/>
          <c:h val="0.74075"/>
        </c:manualLayout>
      </c:layout>
      <c:lineChart>
        <c:grouping val="standard"/>
        <c:varyColors val="0"/>
        <c:ser>
          <c:idx val="1"/>
          <c:order val="0"/>
          <c:tx>
            <c:strRef>
              <c:f>'10.17.5 Evo.Graficos'!$AG$46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Evo.Graficos'!$AH$45:$BF$45</c:f>
              <c:numCache/>
            </c:numRef>
          </c:cat>
          <c:val>
            <c:numRef>
              <c:f>'10.17.5 Evo.Graficos'!$AH$46:$BF$46</c:f>
              <c:numCache/>
            </c:numRef>
          </c:val>
          <c:smooth val="0"/>
        </c:ser>
        <c:ser>
          <c:idx val="0"/>
          <c:order val="1"/>
          <c:tx>
            <c:strRef>
              <c:f>'10.17.5 Evo.Graficos'!$AG$47</c:f>
              <c:strCache>
                <c:ptCount val="1"/>
                <c:pt idx="0">
                  <c:v>Privada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Evo.Graficos'!$AH$45:$BF$45</c:f>
              <c:numCache/>
            </c:numRef>
          </c:cat>
          <c:val>
            <c:numRef>
              <c:f>'10.17.5 Evo.Graficos'!$AH$47:$BF$47</c:f>
              <c:numCache/>
            </c:numRef>
          </c:val>
          <c:smooth val="0"/>
        </c:ser>
        <c:ser>
          <c:idx val="2"/>
          <c:order val="2"/>
          <c:tx>
            <c:strRef>
              <c:f>'10.17.5 Evo.Graficos'!$AG$48</c:f>
              <c:strCache>
                <c:ptCount val="1"/>
                <c:pt idx="0">
                  <c:v>Pública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Evo.Graficos'!$AH$45:$BF$45</c:f>
              <c:numCache/>
            </c:numRef>
          </c:cat>
          <c:val>
            <c:numRef>
              <c:f>'10.17.5 Evo.Graficos'!$AH$48:$BF$48</c:f>
              <c:numCache/>
            </c:numRef>
          </c:val>
          <c:smooth val="0"/>
        </c:ser>
        <c:marker val="1"/>
        <c:axId val="16050605"/>
        <c:axId val="10237718"/>
      </c:line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37718"/>
        <c:crosses val="autoZero"/>
        <c:auto val="1"/>
        <c:lblOffset val="100"/>
        <c:tickLblSkip val="1"/>
        <c:noMultiLvlLbl val="0"/>
      </c:catAx>
      <c:valAx>
        <c:axId val="10237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0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"/>
          <c:y val="0.898"/>
          <c:w val="0.371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1"/>
          <c:w val="0.95675"/>
          <c:h val="0.7535"/>
        </c:manualLayout>
      </c:layout>
      <c:barChart>
        <c:barDir val="col"/>
        <c:grouping val="clustered"/>
        <c:varyColors val="0"/>
        <c:ser>
          <c:idx val="0"/>
          <c:order val="0"/>
          <c:tx>
            <c:v>Costo Marginal de Corto Plazo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'10.18 CMg'!$D$8:$D$115</c:f>
              <c:strCache/>
            </c:strRef>
          </c:cat>
          <c:val>
            <c:numRef>
              <c:f>'10.18 CMg'!$J$8:$J$115</c:f>
              <c:numCache/>
            </c:numRef>
          </c:val>
        </c:ser>
        <c:axId val="25030599"/>
        <c:axId val="23948800"/>
      </c:barChart>
      <c:lineChart>
        <c:grouping val="standard"/>
        <c:varyColors val="0"/>
        <c:ser>
          <c:idx val="1"/>
          <c:order val="1"/>
          <c:tx>
            <c:v>Precio en barra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'10.18 CMg'!$B$8:$C$115</c:f>
              <c:multiLvlStrCache/>
            </c:multiLvlStrRef>
          </c:cat>
          <c:val>
            <c:numRef>
              <c:f>'10.18 CMg'!$I$8:$I$115</c:f>
              <c:numCache/>
            </c:numRef>
          </c:val>
          <c:smooth val="0"/>
        </c:ser>
        <c:axId val="25030599"/>
        <c:axId val="23948800"/>
      </c:lineChart>
      <c:catAx>
        <c:axId val="2503059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8800"/>
        <c:crosses val="autoZero"/>
        <c:auto val="0"/>
        <c:lblOffset val="50"/>
        <c:tickLblSkip val="2"/>
        <c:tickMarkSkip val="2"/>
        <c:noMultiLvlLbl val="0"/>
      </c:catAx>
      <c:valAx>
        <c:axId val="23948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US$/MW.h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3059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35"/>
          <c:y val="0.086"/>
          <c:w val="0.35325"/>
          <c:h val="0.0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POTENCIA EFECTIVA - GENERADORAS PARA MERCADO ELÉCTRICO
1 995 - 2 014</a:t>
            </a:r>
          </a:p>
        </c:rich>
      </c:tx>
      <c:layout>
        <c:manualLayout>
          <c:xMode val="factor"/>
          <c:yMode val="factor"/>
          <c:x val="0.00525"/>
          <c:y val="0.017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9525"/>
          <c:y val="0.17475"/>
          <c:w val="0.8075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Efectiva'!$R$34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Efectiva'!$Q$35:$Q$54</c:f>
              <c:numCache/>
            </c:numRef>
          </c:cat>
          <c:val>
            <c:numRef>
              <c:f>'10.2 Efectiva'!$R$35:$R$54</c:f>
              <c:numCache/>
            </c:numRef>
          </c:val>
        </c:ser>
        <c:ser>
          <c:idx val="1"/>
          <c:order val="1"/>
          <c:tx>
            <c:strRef>
              <c:f>'10.2 Efectiva'!$S$34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Efectiva'!$Q$35:$Q$54</c:f>
              <c:numCache/>
            </c:numRef>
          </c:cat>
          <c:val>
            <c:numRef>
              <c:f>'10.2 Efectiva'!$S$35:$S$54</c:f>
              <c:numCache/>
            </c:numRef>
          </c:val>
        </c:ser>
        <c:ser>
          <c:idx val="2"/>
          <c:order val="2"/>
          <c:tx>
            <c:strRef>
              <c:f>'10.2 Efectiva'!$T$34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984807"/>
            </a:solidFill>
            <a:ln w="12700">
              <a:solidFill>
                <a:srgbClr val="9966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Efectiva'!$Q$35:$Q$54</c:f>
              <c:numCache/>
            </c:numRef>
          </c:cat>
          <c:val>
            <c:numRef>
              <c:f>'10.2 Efectiva'!$T$35:$T$54</c:f>
              <c:numCache/>
            </c:numRef>
          </c:val>
        </c:ser>
        <c:ser>
          <c:idx val="3"/>
          <c:order val="3"/>
          <c:tx>
            <c:strRef>
              <c:f>'10.2 Efectiva'!$U$34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Efectiva'!$Q$35:$Q$54</c:f>
              <c:numCache/>
            </c:numRef>
          </c:cat>
          <c:val>
            <c:numRef>
              <c:f>'10.2 Efectiva'!$U$35:$U$54</c:f>
              <c:numCache/>
            </c:numRef>
          </c:val>
        </c:ser>
        <c:ser>
          <c:idx val="4"/>
          <c:order val="4"/>
          <c:tx>
            <c:strRef>
              <c:f>'10.2 Efectiva'!$V$34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numRef>
              <c:f>'10.2 Efectiva'!$Q$35:$Q$54</c:f>
              <c:numCache/>
            </c:numRef>
          </c:cat>
          <c:val>
            <c:numRef>
              <c:f>'10.2 Efectiva'!$V$35:$V$54</c:f>
              <c:numCache/>
            </c:numRef>
          </c:val>
        </c:ser>
        <c:axId val="43914433"/>
        <c:axId val="59685578"/>
      </c:barChart>
      <c:catAx>
        <c:axId val="4391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85578"/>
        <c:crosses val="autoZero"/>
        <c:auto val="1"/>
        <c:lblOffset val="100"/>
        <c:tickLblSkip val="1"/>
        <c:noMultiLvlLbl val="0"/>
      </c:catAx>
      <c:valAx>
        <c:axId val="5968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14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225"/>
          <c:y val="0.904"/>
          <c:w val="0.6397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POTENCIA EFECTIVA - GENERADORAS PARA USO PROPIO
1 995 - 2 014</a:t>
            </a:r>
          </a:p>
        </c:rich>
      </c:tx>
      <c:layout>
        <c:manualLayout>
          <c:xMode val="factor"/>
          <c:yMode val="factor"/>
          <c:x val="0.0115"/>
          <c:y val="0.025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10775"/>
          <c:y val="0.198"/>
          <c:w val="0.81125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Efectiva'!$R$59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Efectiva'!$Q$60:$Q$79</c:f>
              <c:numCache/>
            </c:numRef>
          </c:cat>
          <c:val>
            <c:numRef>
              <c:f>'10.2 Efectiva'!$R$60:$R$79</c:f>
              <c:numCache/>
            </c:numRef>
          </c:val>
        </c:ser>
        <c:ser>
          <c:idx val="1"/>
          <c:order val="1"/>
          <c:tx>
            <c:strRef>
              <c:f>'10.2 Efectiva'!$S$59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Efectiva'!$Q$60:$Q$79</c:f>
              <c:numCache/>
            </c:numRef>
          </c:cat>
          <c:val>
            <c:numRef>
              <c:f>'10.2 Efectiva'!$S$60:$S$79</c:f>
              <c:numCache/>
            </c:numRef>
          </c:val>
        </c:ser>
        <c:ser>
          <c:idx val="2"/>
          <c:order val="2"/>
          <c:tx>
            <c:strRef>
              <c:f>'10.2 Efectiva'!$T$59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984807"/>
            </a:solidFill>
            <a:ln w="12700">
              <a:solidFill>
                <a:srgbClr val="9966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Efectiva'!$Q$60:$Q$79</c:f>
              <c:numCache/>
            </c:numRef>
          </c:cat>
          <c:val>
            <c:numRef>
              <c:f>'10.2 Efectiva'!$T$60:$T$79</c:f>
              <c:numCache/>
            </c:numRef>
          </c:val>
        </c:ser>
        <c:axId val="299291"/>
        <c:axId val="2693620"/>
      </c:barChart>
      <c:catAx>
        <c:axId val="29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3620"/>
        <c:crosses val="autoZero"/>
        <c:auto val="1"/>
        <c:lblOffset val="100"/>
        <c:tickLblSkip val="1"/>
        <c:noMultiLvlLbl val="0"/>
      </c:catAx>
      <c:valAx>
        <c:axId val="2693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75"/>
          <c:y val="0.89175"/>
          <c:w val="0.356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POTENCIA EFECTIVA 1 995 - 2 014</a:t>
            </a:r>
          </a:p>
        </c:rich>
      </c:tx>
      <c:layout>
        <c:manualLayout>
          <c:xMode val="factor"/>
          <c:yMode val="factor"/>
          <c:x val="-0.00525"/>
          <c:y val="0.01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106"/>
          <c:y val="0.1705"/>
          <c:w val="0.7797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Efectiva'!$R$5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Efectiva'!$Q$6:$Q$25</c:f>
              <c:numCache/>
            </c:numRef>
          </c:cat>
          <c:val>
            <c:numRef>
              <c:f>'10.2 Efectiva'!$R$6:$R$25</c:f>
              <c:numCache/>
            </c:numRef>
          </c:val>
        </c:ser>
        <c:ser>
          <c:idx val="1"/>
          <c:order val="1"/>
          <c:tx>
            <c:strRef>
              <c:f>'10.2 Efectiva'!$S$5</c:f>
              <c:strCache>
                <c:ptCount val="1"/>
                <c:pt idx="0">
                  <c:v>Hidro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Efectiva'!$Q$6:$Q$25</c:f>
              <c:numCache/>
            </c:numRef>
          </c:cat>
          <c:val>
            <c:numRef>
              <c:f>'10.2 Efectiva'!$S$6:$S$25</c:f>
              <c:numCache/>
            </c:numRef>
          </c:val>
        </c:ser>
        <c:ser>
          <c:idx val="2"/>
          <c:order val="2"/>
          <c:tx>
            <c:strRef>
              <c:f>'10.2 Efectiva'!$T$5</c:f>
              <c:strCache>
                <c:ptCount val="1"/>
                <c:pt idx="0">
                  <c:v>Termo</c:v>
                </c:pt>
              </c:strCache>
            </c:strRef>
          </c:tx>
          <c:spPr>
            <a:solidFill>
              <a:srgbClr val="984807"/>
            </a:solidFill>
            <a:ln w="12700">
              <a:solidFill>
                <a:srgbClr val="996633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Efectiva'!$Q$6:$Q$25</c:f>
              <c:numCache/>
            </c:numRef>
          </c:cat>
          <c:val>
            <c:numRef>
              <c:f>'10.2 Efectiva'!$T$6:$T$25</c:f>
              <c:numCache/>
            </c:numRef>
          </c:val>
        </c:ser>
        <c:ser>
          <c:idx val="3"/>
          <c:order val="3"/>
          <c:tx>
            <c:strRef>
              <c:f>'10.2 Efectiva'!$U$5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Efectiva'!$Q$6:$Q$25</c:f>
              <c:numCache/>
            </c:numRef>
          </c:cat>
          <c:val>
            <c:numRef>
              <c:f>'10.2 Efectiva'!$U$6:$U$25</c:f>
              <c:numCache/>
            </c:numRef>
          </c:val>
        </c:ser>
        <c:ser>
          <c:idx val="4"/>
          <c:order val="4"/>
          <c:tx>
            <c:strRef>
              <c:f>'10.2 Efectiva'!$V$5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Efectiva'!$Q$6:$Q$25</c:f>
              <c:numCache/>
            </c:numRef>
          </c:cat>
          <c:val>
            <c:numRef>
              <c:f>'10.2 Efectiva'!$V$6:$V$25</c:f>
              <c:numCache/>
            </c:numRef>
          </c:val>
        </c:ser>
        <c:axId val="24242581"/>
        <c:axId val="16856638"/>
      </c:barChart>
      <c:catAx>
        <c:axId val="2424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56638"/>
        <c:crosses val="autoZero"/>
        <c:auto val="1"/>
        <c:lblOffset val="100"/>
        <c:tickLblSkip val="1"/>
        <c:noMultiLvlLbl val="0"/>
      </c:catAx>
      <c:valAx>
        <c:axId val="16856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42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2"/>
          <c:y val="0.9125"/>
          <c:w val="0.439"/>
          <c:h val="0.0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CRECIMIENTO MEDIO ANUAL DE POTENCIA INSTALADA - POR DÉCADAS</a:t>
            </a:r>
          </a:p>
        </c:rich>
      </c:tx>
      <c:layout>
        <c:manualLayout>
          <c:xMode val="factor"/>
          <c:yMode val="factor"/>
          <c:x val="0.07525"/>
          <c:y val="-0.019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5775"/>
          <c:y val="0.122"/>
          <c:w val="0.9157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'10.3 Incre PI 2014'!$J$31</c:f>
              <c:strCache>
                <c:ptCount val="1"/>
                <c:pt idx="0">
                  <c:v>Hidráulica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'10.3 Incre PI 2014'!$A$33:$A$38</c:f>
              <c:strCache/>
            </c:strRef>
          </c:cat>
          <c:val>
            <c:numRef>
              <c:f>'10.3 Incre PI 2014'!$J$33:$J$38</c:f>
              <c:numCache/>
            </c:numRef>
          </c:val>
          <c:smooth val="0"/>
        </c:ser>
        <c:ser>
          <c:idx val="1"/>
          <c:order val="1"/>
          <c:tx>
            <c:strRef>
              <c:f>'10.3 Incre PI 2014'!$K$31</c:f>
              <c:strCache>
                <c:ptCount val="1"/>
                <c:pt idx="0">
                  <c:v>Térmica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7,6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5,4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3,2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4,6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'10.3 Incre PI 2014'!$A$33:$A$38</c:f>
              <c:strCache/>
            </c:strRef>
          </c:cat>
          <c:val>
            <c:numRef>
              <c:f>'10.3 Incre PI 2014'!$K$33:$K$38</c:f>
              <c:numCache/>
            </c:numRef>
          </c:val>
          <c:smooth val="0"/>
        </c:ser>
        <c:marker val="1"/>
        <c:axId val="17492015"/>
        <c:axId val="23210408"/>
      </c:lineChart>
      <c:catAx>
        <c:axId val="1749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Períodos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10408"/>
        <c:crosses val="autoZero"/>
        <c:auto val="1"/>
        <c:lblOffset val="100"/>
        <c:tickLblSkip val="1"/>
        <c:noMultiLvlLbl val="0"/>
      </c:catAx>
      <c:valAx>
        <c:axId val="232104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9201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LA PRODUCCIÓN DE 
ENERGÍA ELÉCTRICA 1 995 - 2 014</a:t>
            </a:r>
          </a:p>
        </c:rich>
      </c:tx>
      <c:layout>
        <c:manualLayout>
          <c:xMode val="factor"/>
          <c:yMode val="factor"/>
          <c:x val="-0.00475"/>
          <c:y val="-0.021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6225"/>
          <c:y val="0.161"/>
          <c:w val="0.893"/>
          <c:h val="0.714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Prod'!$S$23</c:f>
              <c:strCache>
                <c:ptCount val="1"/>
                <c:pt idx="0">
                  <c:v>Hidráulica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Prod'!$R$24:$R$43</c:f>
              <c:numCache/>
            </c:numRef>
          </c:cat>
          <c:val>
            <c:numRef>
              <c:f>'10.4 Prod'!$S$24:$S$43</c:f>
              <c:numCache/>
            </c:numRef>
          </c:val>
        </c:ser>
        <c:ser>
          <c:idx val="1"/>
          <c:order val="1"/>
          <c:tx>
            <c:strRef>
              <c:f>'10.4 Prod'!$T$23</c:f>
              <c:strCache>
                <c:ptCount val="1"/>
                <c:pt idx="0">
                  <c:v>Térmica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Prod'!$R$24:$R$43</c:f>
              <c:numCache/>
            </c:numRef>
          </c:cat>
          <c:val>
            <c:numRef>
              <c:f>'10.4 Prod'!$T$24:$T$43</c:f>
              <c:numCache/>
            </c:numRef>
          </c:val>
        </c:ser>
        <c:ser>
          <c:idx val="2"/>
          <c:order val="2"/>
          <c:tx>
            <c:strRef>
              <c:f>'10.4 Prod'!$U$23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'10.4 Prod'!$R$24:$R$43</c:f>
              <c:numCache/>
            </c:numRef>
          </c:cat>
          <c:val>
            <c:numRef>
              <c:f>'10.4 Prod'!$U$24:$U$43</c:f>
              <c:numCache/>
            </c:numRef>
          </c:val>
        </c:ser>
        <c:ser>
          <c:idx val="3"/>
          <c:order val="3"/>
          <c:tx>
            <c:strRef>
              <c:f>'10.4 Prod'!$V$23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'10.4 Prod'!$R$24:$R$43</c:f>
              <c:numCache/>
            </c:numRef>
          </c:cat>
          <c:val>
            <c:numRef>
              <c:f>'10.4 Prod'!$V$24:$V$43</c:f>
              <c:numCache/>
            </c:numRef>
          </c:val>
        </c:ser>
        <c:axId val="7567081"/>
        <c:axId val="994866"/>
      </c:areaChart>
      <c:catAx>
        <c:axId val="756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4866"/>
        <c:crosses val="autoZero"/>
        <c:auto val="1"/>
        <c:lblOffset val="100"/>
        <c:tickLblSkip val="1"/>
        <c:noMultiLvlLbl val="0"/>
      </c:catAx>
      <c:valAx>
        <c:axId val="9948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67081"/>
        <c:crossesAt val="1"/>
        <c:crossBetween val="midCat"/>
        <c:dispUnits/>
        <c:majorUnit val="5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DE ENERGÍA ELÉCTRICA 
PARA EL MERCADO ELÉCTRICO 1 995 - 2 014</a:t>
            </a:r>
          </a:p>
        </c:rich>
      </c:tx>
      <c:layout>
        <c:manualLayout>
          <c:xMode val="factor"/>
          <c:yMode val="factor"/>
          <c:x val="0.00575"/>
          <c:y val="-0.020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4425"/>
          <c:y val="0.18475"/>
          <c:w val="0.91775"/>
          <c:h val="0.81425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Prod'!$S$50</c:f>
              <c:strCache>
                <c:ptCount val="1"/>
                <c:pt idx="0">
                  <c:v>Hidráulica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Prod'!$R$51:$R$70</c:f>
              <c:numCache/>
            </c:numRef>
          </c:cat>
          <c:val>
            <c:numRef>
              <c:f>'10.4 Prod'!$S$51:$S$70</c:f>
              <c:numCache/>
            </c:numRef>
          </c:val>
        </c:ser>
        <c:ser>
          <c:idx val="1"/>
          <c:order val="1"/>
          <c:tx>
            <c:strRef>
              <c:f>'10.4 Prod'!$T$50</c:f>
              <c:strCache>
                <c:ptCount val="1"/>
                <c:pt idx="0">
                  <c:v>Térmica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Prod'!$R$51:$R$70</c:f>
              <c:numCache/>
            </c:numRef>
          </c:cat>
          <c:val>
            <c:numRef>
              <c:f>'10.4 Prod'!$T$51:$T$70</c:f>
              <c:numCache/>
            </c:numRef>
          </c:val>
        </c:ser>
        <c:ser>
          <c:idx val="2"/>
          <c:order val="2"/>
          <c:tx>
            <c:strRef>
              <c:f>'10.4 Prod'!$U$50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'10.4 Prod'!$R$51:$R$70</c:f>
              <c:numCache/>
            </c:numRef>
          </c:cat>
          <c:val>
            <c:numRef>
              <c:f>'10.4 Prod'!$U$51:$U$70</c:f>
              <c:numCache/>
            </c:numRef>
          </c:val>
        </c:ser>
        <c:ser>
          <c:idx val="3"/>
          <c:order val="3"/>
          <c:tx>
            <c:strRef>
              <c:f>'10.4 Prod'!$V$50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'10.4 Prod'!$R$51:$R$70</c:f>
              <c:numCache/>
            </c:numRef>
          </c:cat>
          <c:val>
            <c:numRef>
              <c:f>'10.4 Prod'!$V$51:$V$70</c:f>
              <c:numCache/>
            </c:numRef>
          </c:val>
        </c:ser>
        <c:axId val="8953795"/>
        <c:axId val="13475292"/>
      </c:areaChart>
      <c:catAx>
        <c:axId val="89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75292"/>
        <c:crosses val="autoZero"/>
        <c:auto val="1"/>
        <c:lblOffset val="100"/>
        <c:tickLblSkip val="1"/>
        <c:noMultiLvlLbl val="0"/>
      </c:catAx>
      <c:valAx>
        <c:axId val="1347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537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53</xdr:row>
      <xdr:rowOff>123825</xdr:rowOff>
    </xdr:from>
    <xdr:to>
      <xdr:col>14</xdr:col>
      <xdr:colOff>485775</xdr:colOff>
      <xdr:row>70</xdr:row>
      <xdr:rowOff>152400</xdr:rowOff>
    </xdr:to>
    <xdr:graphicFrame>
      <xdr:nvGraphicFramePr>
        <xdr:cNvPr id="1" name="Chart 1"/>
        <xdr:cNvGraphicFramePr/>
      </xdr:nvGraphicFramePr>
      <xdr:xfrm>
        <a:off x="390525" y="8867775"/>
        <a:ext cx="93821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71</xdr:row>
      <xdr:rowOff>85725</xdr:rowOff>
    </xdr:from>
    <xdr:to>
      <xdr:col>14</xdr:col>
      <xdr:colOff>466725</xdr:colOff>
      <xdr:row>90</xdr:row>
      <xdr:rowOff>152400</xdr:rowOff>
    </xdr:to>
    <xdr:graphicFrame>
      <xdr:nvGraphicFramePr>
        <xdr:cNvPr id="2" name="Chart 2"/>
        <xdr:cNvGraphicFramePr/>
      </xdr:nvGraphicFramePr>
      <xdr:xfrm>
        <a:off x="390525" y="11744325"/>
        <a:ext cx="93630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35</xdr:row>
      <xdr:rowOff>76200</xdr:rowOff>
    </xdr:from>
    <xdr:to>
      <xdr:col>14</xdr:col>
      <xdr:colOff>495300</xdr:colOff>
      <xdr:row>53</xdr:row>
      <xdr:rowOff>19050</xdr:rowOff>
    </xdr:to>
    <xdr:graphicFrame>
      <xdr:nvGraphicFramePr>
        <xdr:cNvPr id="3" name="Chart 3"/>
        <xdr:cNvGraphicFramePr/>
      </xdr:nvGraphicFramePr>
      <xdr:xfrm>
        <a:off x="361950" y="5905500"/>
        <a:ext cx="94202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43</xdr:row>
      <xdr:rowOff>47625</xdr:rowOff>
    </xdr:from>
    <xdr:to>
      <xdr:col>9</xdr:col>
      <xdr:colOff>466725</xdr:colOff>
      <xdr:row>62</xdr:row>
      <xdr:rowOff>133350</xdr:rowOff>
    </xdr:to>
    <xdr:graphicFrame>
      <xdr:nvGraphicFramePr>
        <xdr:cNvPr id="1" name="Chart 1"/>
        <xdr:cNvGraphicFramePr/>
      </xdr:nvGraphicFramePr>
      <xdr:xfrm>
        <a:off x="1104900" y="7124700"/>
        <a:ext cx="72294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752475</xdr:colOff>
      <xdr:row>64</xdr:row>
      <xdr:rowOff>152400</xdr:rowOff>
    </xdr:from>
    <xdr:to>
      <xdr:col>9</xdr:col>
      <xdr:colOff>476250</xdr:colOff>
      <xdr:row>84</xdr:row>
      <xdr:rowOff>133350</xdr:rowOff>
    </xdr:to>
    <xdr:graphicFrame>
      <xdr:nvGraphicFramePr>
        <xdr:cNvPr id="2" name="Chart 2"/>
        <xdr:cNvGraphicFramePr/>
      </xdr:nvGraphicFramePr>
      <xdr:xfrm>
        <a:off x="1133475" y="10629900"/>
        <a:ext cx="72104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0.3035</cdr:y>
    </cdr:from>
    <cdr:to>
      <cdr:x>0.68775</cdr:x>
      <cdr:y>0.35325</cdr:y>
    </cdr:to>
    <cdr:sp>
      <cdr:nvSpPr>
        <cdr:cNvPr id="1" name="Text Box 1"/>
        <cdr:cNvSpPr txBox="1">
          <a:spLocks noChangeArrowheads="1"/>
        </cdr:cNvSpPr>
      </cdr:nvSpPr>
      <cdr:spPr>
        <a:xfrm>
          <a:off x="4114800" y="1190625"/>
          <a:ext cx="933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Industrial</a:t>
          </a:r>
        </a:p>
      </cdr:txBody>
    </cdr:sp>
  </cdr:relSizeAnchor>
  <cdr:relSizeAnchor xmlns:cdr="http://schemas.openxmlformats.org/drawingml/2006/chartDrawing">
    <cdr:from>
      <cdr:x>0.68525</cdr:x>
      <cdr:y>0.4855</cdr:y>
    </cdr:from>
    <cdr:to>
      <cdr:x>0.81075</cdr:x>
      <cdr:y>0.5325</cdr:y>
    </cdr:to>
    <cdr:sp>
      <cdr:nvSpPr>
        <cdr:cNvPr id="2" name="Text Box 2"/>
        <cdr:cNvSpPr txBox="1">
          <a:spLocks noChangeArrowheads="1"/>
        </cdr:cNvSpPr>
      </cdr:nvSpPr>
      <cdr:spPr>
        <a:xfrm>
          <a:off x="5038725" y="1905000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Residencial</a:t>
          </a:r>
        </a:p>
      </cdr:txBody>
    </cdr:sp>
  </cdr:relSizeAnchor>
  <cdr:relSizeAnchor xmlns:cdr="http://schemas.openxmlformats.org/drawingml/2006/chartDrawing">
    <cdr:from>
      <cdr:x>0.831</cdr:x>
      <cdr:y>0.60775</cdr:y>
    </cdr:from>
    <cdr:to>
      <cdr:x>0.95525</cdr:x>
      <cdr:y>0.656</cdr:y>
    </cdr:to>
    <cdr:sp>
      <cdr:nvSpPr>
        <cdr:cNvPr id="3" name="Text Box 3"/>
        <cdr:cNvSpPr txBox="1">
          <a:spLocks noChangeArrowheads="1"/>
        </cdr:cNvSpPr>
      </cdr:nvSpPr>
      <cdr:spPr>
        <a:xfrm>
          <a:off x="6105525" y="2390775"/>
          <a:ext cx="914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Comercial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28575</xdr:rowOff>
    </xdr:from>
    <xdr:to>
      <xdr:col>12</xdr:col>
      <xdr:colOff>419100</xdr:colOff>
      <xdr:row>61</xdr:row>
      <xdr:rowOff>85725</xdr:rowOff>
    </xdr:to>
    <xdr:graphicFrame>
      <xdr:nvGraphicFramePr>
        <xdr:cNvPr id="1" name="Chart 1"/>
        <xdr:cNvGraphicFramePr/>
      </xdr:nvGraphicFramePr>
      <xdr:xfrm>
        <a:off x="561975" y="6229350"/>
        <a:ext cx="73533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54</xdr:row>
      <xdr:rowOff>47625</xdr:rowOff>
    </xdr:from>
    <xdr:to>
      <xdr:col>11</xdr:col>
      <xdr:colOff>571500</xdr:colOff>
      <xdr:row>55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05500" y="9001125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80C0"/>
              </a:solidFill>
              <a:latin typeface="Arial"/>
              <a:ea typeface="Arial"/>
              <a:cs typeface="Arial"/>
            </a:rPr>
            <a:t>Alumbrado Público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33</xdr:row>
      <xdr:rowOff>161925</xdr:rowOff>
    </xdr:from>
    <xdr:to>
      <xdr:col>6</xdr:col>
      <xdr:colOff>47625</xdr:colOff>
      <xdr:row>59</xdr:row>
      <xdr:rowOff>142875</xdr:rowOff>
    </xdr:to>
    <xdr:graphicFrame>
      <xdr:nvGraphicFramePr>
        <xdr:cNvPr id="1" name="Chart 3"/>
        <xdr:cNvGraphicFramePr/>
      </xdr:nvGraphicFramePr>
      <xdr:xfrm>
        <a:off x="95250" y="5743575"/>
        <a:ext cx="57054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34</xdr:row>
      <xdr:rowOff>180975</xdr:rowOff>
    </xdr:from>
    <xdr:to>
      <xdr:col>6</xdr:col>
      <xdr:colOff>552450</xdr:colOff>
      <xdr:row>60</xdr:row>
      <xdr:rowOff>104775</xdr:rowOff>
    </xdr:to>
    <xdr:graphicFrame>
      <xdr:nvGraphicFramePr>
        <xdr:cNvPr id="1" name="Chart 3"/>
        <xdr:cNvGraphicFramePr/>
      </xdr:nvGraphicFramePr>
      <xdr:xfrm>
        <a:off x="152400" y="5905500"/>
        <a:ext cx="60483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34</xdr:row>
      <xdr:rowOff>123825</xdr:rowOff>
    </xdr:from>
    <xdr:to>
      <xdr:col>7</xdr:col>
      <xdr:colOff>0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514350" y="5829300"/>
        <a:ext cx="68484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57</xdr:row>
      <xdr:rowOff>133350</xdr:rowOff>
    </xdr:from>
    <xdr:to>
      <xdr:col>7</xdr:col>
      <xdr:colOff>76200</xdr:colOff>
      <xdr:row>83</xdr:row>
      <xdr:rowOff>57150</xdr:rowOff>
    </xdr:to>
    <xdr:graphicFrame>
      <xdr:nvGraphicFramePr>
        <xdr:cNvPr id="2" name="Chart 20"/>
        <xdr:cNvGraphicFramePr/>
      </xdr:nvGraphicFramePr>
      <xdr:xfrm>
        <a:off x="495300" y="9563100"/>
        <a:ext cx="69437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38</xdr:row>
      <xdr:rowOff>9525</xdr:rowOff>
    </xdr:from>
    <xdr:to>
      <xdr:col>12</xdr:col>
      <xdr:colOff>809625</xdr:colOff>
      <xdr:row>58</xdr:row>
      <xdr:rowOff>85725</xdr:rowOff>
    </xdr:to>
    <xdr:graphicFrame>
      <xdr:nvGraphicFramePr>
        <xdr:cNvPr id="1" name="Chart 2"/>
        <xdr:cNvGraphicFramePr/>
      </xdr:nvGraphicFramePr>
      <xdr:xfrm>
        <a:off x="704850" y="6200775"/>
        <a:ext cx="71056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60</xdr:row>
      <xdr:rowOff>38100</xdr:rowOff>
    </xdr:from>
    <xdr:to>
      <xdr:col>13</xdr:col>
      <xdr:colOff>0</xdr:colOff>
      <xdr:row>79</xdr:row>
      <xdr:rowOff>19050</xdr:rowOff>
    </xdr:to>
    <xdr:graphicFrame>
      <xdr:nvGraphicFramePr>
        <xdr:cNvPr id="2" name="Chart 3"/>
        <xdr:cNvGraphicFramePr/>
      </xdr:nvGraphicFramePr>
      <xdr:xfrm>
        <a:off x="676275" y="9791700"/>
        <a:ext cx="71628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123825</xdr:colOff>
      <xdr:row>36</xdr:row>
      <xdr:rowOff>0</xdr:rowOff>
    </xdr:from>
    <xdr:to>
      <xdr:col>13</xdr:col>
      <xdr:colOff>790575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4838700" y="5848350"/>
        <a:ext cx="64960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123825</xdr:colOff>
      <xdr:row>66</xdr:row>
      <xdr:rowOff>466725</xdr:rowOff>
    </xdr:from>
    <xdr:to>
      <xdr:col>13</xdr:col>
      <xdr:colOff>809625</xdr:colOff>
      <xdr:row>92</xdr:row>
      <xdr:rowOff>47625</xdr:rowOff>
    </xdr:to>
    <xdr:graphicFrame>
      <xdr:nvGraphicFramePr>
        <xdr:cNvPr id="2" name="Chart 2"/>
        <xdr:cNvGraphicFramePr/>
      </xdr:nvGraphicFramePr>
      <xdr:xfrm>
        <a:off x="4838700" y="11363325"/>
        <a:ext cx="65151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171450</xdr:colOff>
      <xdr:row>4</xdr:row>
      <xdr:rowOff>171450</xdr:rowOff>
    </xdr:from>
    <xdr:to>
      <xdr:col>13</xdr:col>
      <xdr:colOff>790575</xdr:colOff>
      <xdr:row>30</xdr:row>
      <xdr:rowOff>161925</xdr:rowOff>
    </xdr:to>
    <xdr:graphicFrame>
      <xdr:nvGraphicFramePr>
        <xdr:cNvPr id="3" name="Chart 3"/>
        <xdr:cNvGraphicFramePr/>
      </xdr:nvGraphicFramePr>
      <xdr:xfrm>
        <a:off x="4886325" y="819150"/>
        <a:ext cx="644842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43</xdr:row>
      <xdr:rowOff>85725</xdr:rowOff>
    </xdr:from>
    <xdr:to>
      <xdr:col>14</xdr:col>
      <xdr:colOff>314325</xdr:colOff>
      <xdr:row>67</xdr:row>
      <xdr:rowOff>95250</xdr:rowOff>
    </xdr:to>
    <xdr:graphicFrame>
      <xdr:nvGraphicFramePr>
        <xdr:cNvPr id="1" name="Chart 1"/>
        <xdr:cNvGraphicFramePr/>
      </xdr:nvGraphicFramePr>
      <xdr:xfrm>
        <a:off x="866775" y="7286625"/>
        <a:ext cx="105918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723900</xdr:colOff>
      <xdr:row>73</xdr:row>
      <xdr:rowOff>123825</xdr:rowOff>
    </xdr:from>
    <xdr:to>
      <xdr:col>13</xdr:col>
      <xdr:colOff>533400</xdr:colOff>
      <xdr:row>103</xdr:row>
      <xdr:rowOff>0</xdr:rowOff>
    </xdr:to>
    <xdr:graphicFrame>
      <xdr:nvGraphicFramePr>
        <xdr:cNvPr id="2" name="Chart 2"/>
        <xdr:cNvGraphicFramePr/>
      </xdr:nvGraphicFramePr>
      <xdr:xfrm>
        <a:off x="1019175" y="12163425"/>
        <a:ext cx="982980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67</xdr:row>
      <xdr:rowOff>19050</xdr:rowOff>
    </xdr:from>
    <xdr:to>
      <xdr:col>13</xdr:col>
      <xdr:colOff>209550</xdr:colOff>
      <xdr:row>69</xdr:row>
      <xdr:rowOff>57150</xdr:rowOff>
    </xdr:to>
    <xdr:sp>
      <xdr:nvSpPr>
        <xdr:cNvPr id="3" name="1 CuadroTexto"/>
        <xdr:cNvSpPr txBox="1">
          <a:spLocks noChangeArrowheads="1"/>
        </xdr:cNvSpPr>
      </xdr:nvSpPr>
      <xdr:spPr>
        <a:xfrm>
          <a:off x="1609725" y="11087100"/>
          <a:ext cx="89154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(*) No incluye inversión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realizada por la DGER</a:t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0.85875</cdr:y>
    </cdr:from>
    <cdr:to>
      <cdr:x>0.903</cdr:x>
      <cdr:y>0.988</cdr:y>
    </cdr:to>
    <cdr:sp>
      <cdr:nvSpPr>
        <cdr:cNvPr id="1" name="1 Rectángulo"/>
        <cdr:cNvSpPr>
          <a:spLocks/>
        </cdr:cNvSpPr>
      </cdr:nvSpPr>
      <cdr:spPr>
        <a:xfrm>
          <a:off x="1133475" y="4133850"/>
          <a:ext cx="5419725" cy="6191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(*) Ejecutada</a:t>
          </a:r>
          <a:r>
            <a:rPr lang="en-US" cap="none" sz="1100" b="1" i="0" u="none" baseline="0">
              <a:solidFill>
                <a:srgbClr val="000000"/>
              </a:solidFill>
            </a:rPr>
            <a:t> por la dirección General de Electrificaciòn Rural (DGER) del Ministerio de Energia y Minas (MINEM)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52</xdr:row>
      <xdr:rowOff>142875</xdr:rowOff>
    </xdr:from>
    <xdr:to>
      <xdr:col>14</xdr:col>
      <xdr:colOff>428625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542925" y="8820150"/>
        <a:ext cx="93154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70</xdr:row>
      <xdr:rowOff>104775</xdr:rowOff>
    </xdr:from>
    <xdr:to>
      <xdr:col>14</xdr:col>
      <xdr:colOff>428625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571500" y="11696700"/>
        <a:ext cx="92868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34</xdr:row>
      <xdr:rowOff>123825</xdr:rowOff>
    </xdr:from>
    <xdr:to>
      <xdr:col>14</xdr:col>
      <xdr:colOff>419100</xdr:colOff>
      <xdr:row>52</xdr:row>
      <xdr:rowOff>19050</xdr:rowOff>
    </xdr:to>
    <xdr:graphicFrame>
      <xdr:nvGraphicFramePr>
        <xdr:cNvPr id="3" name="Chart 3"/>
        <xdr:cNvGraphicFramePr/>
      </xdr:nvGraphicFramePr>
      <xdr:xfrm>
        <a:off x="561975" y="5886450"/>
        <a:ext cx="92868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25</xdr:row>
      <xdr:rowOff>38100</xdr:rowOff>
    </xdr:from>
    <xdr:to>
      <xdr:col>26</xdr:col>
      <xdr:colOff>180975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381000" y="4391025"/>
        <a:ext cx="145732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38</xdr:col>
      <xdr:colOff>295275</xdr:colOff>
      <xdr:row>59</xdr:row>
      <xdr:rowOff>0</xdr:rowOff>
    </xdr:from>
    <xdr:ext cx="76200" cy="190500"/>
    <xdr:sp fLocksText="0">
      <xdr:nvSpPr>
        <xdr:cNvPr id="2" name="Text Box 4"/>
        <xdr:cNvSpPr txBox="1">
          <a:spLocks noChangeArrowheads="1"/>
        </xdr:cNvSpPr>
      </xdr:nvSpPr>
      <xdr:spPr>
        <a:xfrm>
          <a:off x="19297650" y="99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123825</xdr:colOff>
      <xdr:row>54</xdr:row>
      <xdr:rowOff>47625</xdr:rowOff>
    </xdr:from>
    <xdr:to>
      <xdr:col>26</xdr:col>
      <xdr:colOff>180975</xdr:colOff>
      <xdr:row>78</xdr:row>
      <xdr:rowOff>133350</xdr:rowOff>
    </xdr:to>
    <xdr:graphicFrame>
      <xdr:nvGraphicFramePr>
        <xdr:cNvPr id="3" name="Chart 5"/>
        <xdr:cNvGraphicFramePr/>
      </xdr:nvGraphicFramePr>
      <xdr:xfrm>
        <a:off x="333375" y="9163050"/>
        <a:ext cx="146208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</xdr:col>
      <xdr:colOff>419100</xdr:colOff>
      <xdr:row>87</xdr:row>
      <xdr:rowOff>104775</xdr:rowOff>
    </xdr:from>
    <xdr:to>
      <xdr:col>26</xdr:col>
      <xdr:colOff>590550</xdr:colOff>
      <xdr:row>117</xdr:row>
      <xdr:rowOff>85725</xdr:rowOff>
    </xdr:to>
    <xdr:graphicFrame>
      <xdr:nvGraphicFramePr>
        <xdr:cNvPr id="4" name="Chart 1"/>
        <xdr:cNvGraphicFramePr/>
      </xdr:nvGraphicFramePr>
      <xdr:xfrm>
        <a:off x="628650" y="14563725"/>
        <a:ext cx="147351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47625</xdr:colOff>
      <xdr:row>200</xdr:row>
      <xdr:rowOff>19050</xdr:rowOff>
    </xdr:from>
    <xdr:to>
      <xdr:col>22</xdr:col>
      <xdr:colOff>161925</xdr:colOff>
      <xdr:row>229</xdr:row>
      <xdr:rowOff>142875</xdr:rowOff>
    </xdr:to>
    <xdr:graphicFrame>
      <xdr:nvGraphicFramePr>
        <xdr:cNvPr id="5" name="5 Gráfico"/>
        <xdr:cNvGraphicFramePr/>
      </xdr:nvGraphicFramePr>
      <xdr:xfrm>
        <a:off x="4819650" y="32775525"/>
        <a:ext cx="7258050" cy="4819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723900</xdr:colOff>
      <xdr:row>160</xdr:row>
      <xdr:rowOff>85725</xdr:rowOff>
    </xdr:from>
    <xdr:to>
      <xdr:col>26</xdr:col>
      <xdr:colOff>466725</xdr:colOff>
      <xdr:row>194</xdr:row>
      <xdr:rowOff>19050</xdr:rowOff>
    </xdr:to>
    <xdr:graphicFrame>
      <xdr:nvGraphicFramePr>
        <xdr:cNvPr id="6" name="Chart 1"/>
        <xdr:cNvGraphicFramePr/>
      </xdr:nvGraphicFramePr>
      <xdr:xfrm>
        <a:off x="933450" y="26365200"/>
        <a:ext cx="14306550" cy="5438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676275</xdr:colOff>
      <xdr:row>122</xdr:row>
      <xdr:rowOff>0</xdr:rowOff>
    </xdr:from>
    <xdr:to>
      <xdr:col>26</xdr:col>
      <xdr:colOff>523875</xdr:colOff>
      <xdr:row>151</xdr:row>
      <xdr:rowOff>57150</xdr:rowOff>
    </xdr:to>
    <xdr:graphicFrame>
      <xdr:nvGraphicFramePr>
        <xdr:cNvPr id="7" name="Chart 1"/>
        <xdr:cNvGraphicFramePr/>
      </xdr:nvGraphicFramePr>
      <xdr:xfrm>
        <a:off x="885825" y="20126325"/>
        <a:ext cx="14411325" cy="4752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4</xdr:row>
      <xdr:rowOff>95250</xdr:rowOff>
    </xdr:from>
    <xdr:to>
      <xdr:col>50</xdr:col>
      <xdr:colOff>352425</xdr:colOff>
      <xdr:row>48</xdr:row>
      <xdr:rowOff>0</xdr:rowOff>
    </xdr:to>
    <xdr:graphicFrame>
      <xdr:nvGraphicFramePr>
        <xdr:cNvPr id="1" name="Gráfico 136"/>
        <xdr:cNvGraphicFramePr/>
      </xdr:nvGraphicFramePr>
      <xdr:xfrm>
        <a:off x="9906000" y="809625"/>
        <a:ext cx="1154430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0.5</cdr:y>
    </cdr:from>
    <cdr:to>
      <cdr:x>0.50825</cdr:x>
      <cdr:y>0.55275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933825" y="173355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0.8785</cdr:x>
      <cdr:y>0.26125</cdr:y>
    </cdr:from>
    <cdr:to>
      <cdr:x>0.8785</cdr:x>
      <cdr:y>0.26125</cdr:y>
    </cdr:to>
    <cdr:sp>
      <cdr:nvSpPr>
        <cdr:cNvPr id="2" name="Text Box 2"/>
        <cdr:cNvSpPr txBox="1">
          <a:spLocks noChangeArrowheads="1"/>
        </cdr:cNvSpPr>
      </cdr:nvSpPr>
      <cdr:spPr>
        <a:xfrm>
          <a:off x="6962775" y="904875"/>
          <a:ext cx="0" cy="0"/>
        </a:xfrm>
        <a:prstGeom prst="rect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CRECIMIENTO MEDIO</a:t>
          </a:r>
        </a:p>
      </cdr:txBody>
    </cdr:sp>
  </cdr:relSizeAnchor>
  <cdr:relSizeAnchor xmlns:cdr="http://schemas.openxmlformats.org/drawingml/2006/chartDrawing">
    <cdr:from>
      <cdr:x>0.7565</cdr:x>
      <cdr:y>0.26625</cdr:y>
    </cdr:from>
    <cdr:to>
      <cdr:x>0.85475</cdr:x>
      <cdr:y>0.32325</cdr:y>
    </cdr:to>
    <cdr:sp>
      <cdr:nvSpPr>
        <cdr:cNvPr id="3" name="Text Box 5"/>
        <cdr:cNvSpPr txBox="1">
          <a:spLocks noChangeArrowheads="1"/>
        </cdr:cNvSpPr>
      </cdr:nvSpPr>
      <cdr:spPr>
        <a:xfrm>
          <a:off x="6000750" y="914400"/>
          <a:ext cx="781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Térmica</a:t>
          </a:r>
        </a:p>
      </cdr:txBody>
    </cdr:sp>
  </cdr:relSizeAnchor>
  <cdr:relSizeAnchor xmlns:cdr="http://schemas.openxmlformats.org/drawingml/2006/chartDrawing">
    <cdr:from>
      <cdr:x>0.7915</cdr:x>
      <cdr:y>0.71325</cdr:y>
    </cdr:from>
    <cdr:to>
      <cdr:x>0.9075</cdr:x>
      <cdr:y>0.7865</cdr:y>
    </cdr:to>
    <cdr:sp>
      <cdr:nvSpPr>
        <cdr:cNvPr id="4" name="Text Box 6"/>
        <cdr:cNvSpPr txBox="1">
          <a:spLocks noChangeArrowheads="1"/>
        </cdr:cNvSpPr>
      </cdr:nvSpPr>
      <cdr:spPr>
        <a:xfrm>
          <a:off x="6276975" y="2466975"/>
          <a:ext cx="923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Hidráulica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41</xdr:row>
      <xdr:rowOff>161925</xdr:rowOff>
    </xdr:from>
    <xdr:to>
      <xdr:col>11</xdr:col>
      <xdr:colOff>0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466725" y="6896100"/>
        <a:ext cx="79343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0.77475</cdr:x>
      <cdr:y>0.28325</cdr:y>
    </cdr:from>
    <cdr:to>
      <cdr:x>0.8735</cdr:x>
      <cdr:y>0.34775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419850" y="914400"/>
          <a:ext cx="819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Solar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35</xdr:row>
      <xdr:rowOff>38100</xdr:rowOff>
    </xdr:from>
    <xdr:to>
      <xdr:col>14</xdr:col>
      <xdr:colOff>57150</xdr:colOff>
      <xdr:row>55</xdr:row>
      <xdr:rowOff>47625</xdr:rowOff>
    </xdr:to>
    <xdr:graphicFrame>
      <xdr:nvGraphicFramePr>
        <xdr:cNvPr id="1" name="Chart 1"/>
        <xdr:cNvGraphicFramePr/>
      </xdr:nvGraphicFramePr>
      <xdr:xfrm>
        <a:off x="933450" y="5772150"/>
        <a:ext cx="8296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628650</xdr:colOff>
      <xdr:row>55</xdr:row>
      <xdr:rowOff>123825</xdr:rowOff>
    </xdr:from>
    <xdr:to>
      <xdr:col>14</xdr:col>
      <xdr:colOff>38100</xdr:colOff>
      <xdr:row>73</xdr:row>
      <xdr:rowOff>123825</xdr:rowOff>
    </xdr:to>
    <xdr:graphicFrame>
      <xdr:nvGraphicFramePr>
        <xdr:cNvPr id="2" name="Chart 2"/>
        <xdr:cNvGraphicFramePr/>
      </xdr:nvGraphicFramePr>
      <xdr:xfrm>
        <a:off x="923925" y="9096375"/>
        <a:ext cx="82867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581025</xdr:colOff>
      <xdr:row>74</xdr:row>
      <xdr:rowOff>28575</xdr:rowOff>
    </xdr:from>
    <xdr:to>
      <xdr:col>14</xdr:col>
      <xdr:colOff>9525</xdr:colOff>
      <xdr:row>92</xdr:row>
      <xdr:rowOff>38100</xdr:rowOff>
    </xdr:to>
    <xdr:graphicFrame>
      <xdr:nvGraphicFramePr>
        <xdr:cNvPr id="3" name="Chart 3"/>
        <xdr:cNvGraphicFramePr/>
      </xdr:nvGraphicFramePr>
      <xdr:xfrm>
        <a:off x="876300" y="12077700"/>
        <a:ext cx="83058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152400</xdr:colOff>
      <xdr:row>45</xdr:row>
      <xdr:rowOff>47625</xdr:rowOff>
    </xdr:from>
    <xdr:to>
      <xdr:col>25</xdr:col>
      <xdr:colOff>276225</xdr:colOff>
      <xdr:row>46</xdr:row>
      <xdr:rowOff>123825</xdr:rowOff>
    </xdr:to>
    <xdr:grpSp>
      <xdr:nvGrpSpPr>
        <xdr:cNvPr id="4" name="Group 4"/>
        <xdr:cNvGrpSpPr>
          <a:grpSpLocks/>
        </xdr:cNvGrpSpPr>
      </xdr:nvGrpSpPr>
      <xdr:grpSpPr>
        <a:xfrm>
          <a:off x="18049875" y="7400925"/>
          <a:ext cx="123825" cy="238125"/>
          <a:chOff x="601" y="120"/>
          <a:chExt cx="27" cy="35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 flipH="1">
            <a:off x="601" y="120"/>
            <a:ext cx="11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612" y="121"/>
            <a:ext cx="16" cy="3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1" y="155"/>
            <a:ext cx="27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228600</xdr:colOff>
      <xdr:row>39</xdr:row>
      <xdr:rowOff>104775</xdr:rowOff>
    </xdr:from>
    <xdr:to>
      <xdr:col>13</xdr:col>
      <xdr:colOff>47625</xdr:colOff>
      <xdr:row>40</xdr:row>
      <xdr:rowOff>152400</xdr:rowOff>
    </xdr:to>
    <xdr:sp>
      <xdr:nvSpPr>
        <xdr:cNvPr id="8" name="1 CuadroTexto"/>
        <xdr:cNvSpPr txBox="1">
          <a:spLocks noChangeArrowheads="1"/>
        </xdr:cNvSpPr>
      </xdr:nvSpPr>
      <xdr:spPr>
        <a:xfrm>
          <a:off x="7791450" y="6486525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Eólico</a:t>
          </a:r>
        </a:p>
      </xdr:txBody>
    </xdr:sp>
    <xdr:clientData/>
  </xdr:twoCellAnchor>
  <xdr:twoCellAnchor>
    <xdr:from>
      <xdr:col>10</xdr:col>
      <xdr:colOff>457200</xdr:colOff>
      <xdr:row>61</xdr:row>
      <xdr:rowOff>9525</xdr:rowOff>
    </xdr:from>
    <xdr:to>
      <xdr:col>12</xdr:col>
      <xdr:colOff>200025</xdr:colOff>
      <xdr:row>62</xdr:row>
      <xdr:rowOff>47625</xdr:rowOff>
    </xdr:to>
    <xdr:sp>
      <xdr:nvSpPr>
        <xdr:cNvPr id="9" name="1 CuadroTexto"/>
        <xdr:cNvSpPr txBox="1">
          <a:spLocks noChangeArrowheads="1"/>
        </xdr:cNvSpPr>
      </xdr:nvSpPr>
      <xdr:spPr>
        <a:xfrm>
          <a:off x="7400925" y="9953625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Solar</a:t>
          </a:r>
        </a:p>
      </xdr:txBody>
    </xdr:sp>
    <xdr:clientData/>
  </xdr:twoCellAnchor>
  <xdr:twoCellAnchor>
    <xdr:from>
      <xdr:col>11</xdr:col>
      <xdr:colOff>295275</xdr:colOff>
      <xdr:row>59</xdr:row>
      <xdr:rowOff>152400</xdr:rowOff>
    </xdr:from>
    <xdr:to>
      <xdr:col>13</xdr:col>
      <xdr:colOff>114300</xdr:colOff>
      <xdr:row>61</xdr:row>
      <xdr:rowOff>28575</xdr:rowOff>
    </xdr:to>
    <xdr:sp>
      <xdr:nvSpPr>
        <xdr:cNvPr id="10" name="1 CuadroTexto"/>
        <xdr:cNvSpPr txBox="1">
          <a:spLocks noChangeArrowheads="1"/>
        </xdr:cNvSpPr>
      </xdr:nvSpPr>
      <xdr:spPr>
        <a:xfrm>
          <a:off x="7858125" y="9772650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Eólico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41</xdr:row>
      <xdr:rowOff>142875</xdr:rowOff>
    </xdr:from>
    <xdr:to>
      <xdr:col>8</xdr:col>
      <xdr:colOff>714375</xdr:colOff>
      <xdr:row>62</xdr:row>
      <xdr:rowOff>38100</xdr:rowOff>
    </xdr:to>
    <xdr:graphicFrame>
      <xdr:nvGraphicFramePr>
        <xdr:cNvPr id="1" name="Chart 3"/>
        <xdr:cNvGraphicFramePr/>
      </xdr:nvGraphicFramePr>
      <xdr:xfrm>
        <a:off x="323850" y="6886575"/>
        <a:ext cx="77057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40</xdr:row>
      <xdr:rowOff>104775</xdr:rowOff>
    </xdr:from>
    <xdr:to>
      <xdr:col>10</xdr:col>
      <xdr:colOff>381000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742950" y="6686550"/>
        <a:ext cx="81915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63</xdr:row>
      <xdr:rowOff>76200</xdr:rowOff>
    </xdr:from>
    <xdr:to>
      <xdr:col>10</xdr:col>
      <xdr:colOff>371475</xdr:colOff>
      <xdr:row>86</xdr:row>
      <xdr:rowOff>76200</xdr:rowOff>
    </xdr:to>
    <xdr:graphicFrame>
      <xdr:nvGraphicFramePr>
        <xdr:cNvPr id="2" name="Chart 2"/>
        <xdr:cNvGraphicFramePr/>
      </xdr:nvGraphicFramePr>
      <xdr:xfrm>
        <a:off x="695325" y="10382250"/>
        <a:ext cx="82296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36</xdr:row>
      <xdr:rowOff>95250</xdr:rowOff>
    </xdr:from>
    <xdr:to>
      <xdr:col>10</xdr:col>
      <xdr:colOff>228600</xdr:colOff>
      <xdr:row>58</xdr:row>
      <xdr:rowOff>142875</xdr:rowOff>
    </xdr:to>
    <xdr:graphicFrame>
      <xdr:nvGraphicFramePr>
        <xdr:cNvPr id="1" name="Chart 1"/>
        <xdr:cNvGraphicFramePr/>
      </xdr:nvGraphicFramePr>
      <xdr:xfrm>
        <a:off x="638175" y="6010275"/>
        <a:ext cx="81153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60</xdr:row>
      <xdr:rowOff>114300</xdr:rowOff>
    </xdr:from>
    <xdr:to>
      <xdr:col>10</xdr:col>
      <xdr:colOff>219075</xdr:colOff>
      <xdr:row>82</xdr:row>
      <xdr:rowOff>133350</xdr:rowOff>
    </xdr:to>
    <xdr:graphicFrame>
      <xdr:nvGraphicFramePr>
        <xdr:cNvPr id="2" name="Chart 2"/>
        <xdr:cNvGraphicFramePr/>
      </xdr:nvGraphicFramePr>
      <xdr:xfrm>
        <a:off x="638175" y="9915525"/>
        <a:ext cx="81057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EVOLUCIONES%20Y%20OTROS\2013\FINAL\PRELIMINAR\L3%20Evol_Precio%20Medio-1995%20-%202013_Pre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LIVETI\STD98\ANUARI~1\LASERJC5\P_INST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 -PRECIOMEDIO"/>
      <sheetName val="desagregados"/>
      <sheetName val="Hoja 2"/>
    </sheetNames>
    <sheetDataSet>
      <sheetData sheetId="1">
        <row r="52">
          <cell r="C52">
            <v>6.573199512560988</v>
          </cell>
          <cell r="H52">
            <v>10.220209425572106</v>
          </cell>
        </row>
        <row r="53">
          <cell r="C53">
            <v>6.943416370742706</v>
          </cell>
          <cell r="H53">
            <v>10.459527312900395</v>
          </cell>
        </row>
        <row r="71">
          <cell r="B71">
            <v>4.2445573090579085</v>
          </cell>
        </row>
        <row r="72">
          <cell r="B72">
            <v>4.5448535324028105</v>
          </cell>
        </row>
        <row r="73">
          <cell r="B73">
            <v>5.212117520815096</v>
          </cell>
        </row>
        <row r="74">
          <cell r="B74">
            <v>4.8931747664703975</v>
          </cell>
        </row>
        <row r="75">
          <cell r="B75">
            <v>4.861602607536183</v>
          </cell>
        </row>
        <row r="76">
          <cell r="B76">
            <v>5.164795484263344</v>
          </cell>
        </row>
        <row r="77">
          <cell r="B77">
            <v>4.531755939031402</v>
          </cell>
        </row>
        <row r="78">
          <cell r="B78">
            <v>4.541729686255704</v>
          </cell>
        </row>
        <row r="79">
          <cell r="B79">
            <v>4.470113199324197</v>
          </cell>
        </row>
        <row r="80">
          <cell r="B80">
            <v>5.176227190061146</v>
          </cell>
        </row>
        <row r="81">
          <cell r="B81">
            <v>5.541607608090972</v>
          </cell>
        </row>
        <row r="82">
          <cell r="B82">
            <v>5.581447756240201</v>
          </cell>
        </row>
        <row r="83">
          <cell r="B83">
            <v>5.420095140533965</v>
          </cell>
        </row>
        <row r="84">
          <cell r="B84">
            <v>6.703677483775019</v>
          </cell>
        </row>
        <row r="85">
          <cell r="B85">
            <v>5.653760327009893</v>
          </cell>
        </row>
        <row r="86">
          <cell r="B86">
            <v>5.403780946168652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RO-1"/>
      <sheetName val="RES"/>
      <sheetName val="X_DEP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V78"/>
  <sheetViews>
    <sheetView view="pageBreakPreview" zoomScaleSheetLayoutView="100" zoomScalePageLayoutView="0" workbookViewId="0" topLeftCell="A1">
      <selection activeCell="S22" sqref="S22"/>
    </sheetView>
  </sheetViews>
  <sheetFormatPr defaultColWidth="11.421875" defaultRowHeight="12.75"/>
  <cols>
    <col min="1" max="1" width="4.28125" style="0" customWidth="1"/>
    <col min="2" max="2" width="21.421875" style="0" customWidth="1"/>
    <col min="4" max="4" width="9.140625" style="0" bestFit="1" customWidth="1"/>
    <col min="5" max="6" width="8.57421875" style="0" customWidth="1"/>
    <col min="7" max="7" width="8.00390625" style="0" customWidth="1"/>
    <col min="8" max="8" width="11.140625" style="0" customWidth="1"/>
    <col min="9" max="9" width="11.7109375" style="0" customWidth="1"/>
    <col min="10" max="11" width="9.28125" style="0" customWidth="1"/>
    <col min="12" max="12" width="7.28125" style="0" customWidth="1"/>
    <col min="13" max="13" width="9.28125" style="0" customWidth="1"/>
    <col min="14" max="14" width="9.8515625" style="0" customWidth="1"/>
    <col min="15" max="15" width="8.7109375" style="0" customWidth="1"/>
    <col min="16" max="16" width="11.421875" style="0" customWidth="1"/>
  </cols>
  <sheetData>
    <row r="2" ht="18">
      <c r="A2" s="10" t="s">
        <v>291</v>
      </c>
    </row>
    <row r="4" spans="2:15" ht="15">
      <c r="B4" s="1"/>
      <c r="C4" s="1"/>
      <c r="D4" s="1"/>
      <c r="E4" s="1"/>
      <c r="F4" s="1"/>
      <c r="G4" s="1"/>
      <c r="H4" s="1"/>
      <c r="I4" s="1"/>
      <c r="J4" s="723"/>
      <c r="K4" s="723"/>
      <c r="L4" s="2"/>
      <c r="M4" s="2"/>
      <c r="N4" s="2"/>
      <c r="O4" s="2"/>
    </row>
    <row r="5" ht="13.5" thickBot="1"/>
    <row r="6" spans="2:22" ht="15.75" customHeight="1">
      <c r="B6" s="1005"/>
      <c r="C6" s="1006"/>
      <c r="D6" s="1007" t="s">
        <v>13</v>
      </c>
      <c r="E6" s="1008"/>
      <c r="F6" s="1008"/>
      <c r="G6" s="1008"/>
      <c r="H6" s="1007" t="s">
        <v>14</v>
      </c>
      <c r="I6" s="1008"/>
      <c r="J6" s="1009"/>
      <c r="K6" s="1009"/>
      <c r="L6" s="1009"/>
      <c r="M6" s="1007" t="s">
        <v>15</v>
      </c>
      <c r="N6" s="1010"/>
      <c r="O6" s="1011"/>
      <c r="R6" t="s">
        <v>0</v>
      </c>
      <c r="S6" t="s">
        <v>1</v>
      </c>
      <c r="T6" t="s">
        <v>2</v>
      </c>
      <c r="U6" s="240" t="s">
        <v>59</v>
      </c>
      <c r="V6" s="240" t="s">
        <v>6</v>
      </c>
    </row>
    <row r="7" spans="2:22" ht="13.5" thickBot="1">
      <c r="B7" s="1012" t="s">
        <v>18</v>
      </c>
      <c r="C7" s="1013" t="s">
        <v>0</v>
      </c>
      <c r="D7" s="1014" t="s">
        <v>4</v>
      </c>
      <c r="E7" s="1015" t="s">
        <v>5</v>
      </c>
      <c r="F7" s="1015" t="s">
        <v>59</v>
      </c>
      <c r="G7" s="1015" t="s">
        <v>6</v>
      </c>
      <c r="H7" s="1016" t="s">
        <v>0</v>
      </c>
      <c r="I7" s="1015" t="s">
        <v>4</v>
      </c>
      <c r="J7" s="1015" t="s">
        <v>5</v>
      </c>
      <c r="K7" s="1015" t="s">
        <v>59</v>
      </c>
      <c r="L7" s="1015" t="s">
        <v>6</v>
      </c>
      <c r="M7" s="1016" t="s">
        <v>0</v>
      </c>
      <c r="N7" s="1017" t="s">
        <v>4</v>
      </c>
      <c r="O7" s="1018" t="s">
        <v>5</v>
      </c>
      <c r="Q7">
        <v>1995</v>
      </c>
      <c r="R7" s="4">
        <f aca="true" t="shared" si="0" ref="R7:T23">C9</f>
        <v>4461.7</v>
      </c>
      <c r="S7" s="4">
        <f t="shared" si="0"/>
        <v>2479.4</v>
      </c>
      <c r="T7" s="4">
        <f t="shared" si="0"/>
        <v>1982.3</v>
      </c>
      <c r="V7" s="4"/>
    </row>
    <row r="8" spans="2:22" ht="12.75">
      <c r="B8" s="724"/>
      <c r="C8" s="725"/>
      <c r="D8" s="726"/>
      <c r="E8" s="727"/>
      <c r="F8" s="727"/>
      <c r="G8" s="728"/>
      <c r="H8" s="729"/>
      <c r="I8" s="727"/>
      <c r="J8" s="727"/>
      <c r="K8" s="727"/>
      <c r="L8" s="728"/>
      <c r="M8" s="726"/>
      <c r="N8" s="730"/>
      <c r="O8" s="731"/>
      <c r="Q8">
        <v>1996</v>
      </c>
      <c r="R8" s="4">
        <f t="shared" si="0"/>
        <v>4662.605</v>
      </c>
      <c r="S8" s="4">
        <f t="shared" si="0"/>
        <v>2492.7239999999997</v>
      </c>
      <c r="T8" s="4">
        <f t="shared" si="0"/>
        <v>2169.6310000000003</v>
      </c>
      <c r="V8" s="4"/>
    </row>
    <row r="9" spans="2:22" ht="12.75">
      <c r="B9" s="732">
        <v>1995</v>
      </c>
      <c r="C9" s="733">
        <f aca="true" t="shared" si="1" ref="C9:C27">SUM(D9:G9)</f>
        <v>4461.7</v>
      </c>
      <c r="D9" s="734">
        <f>SUM(I9,N9)</f>
        <v>2479.4</v>
      </c>
      <c r="E9" s="735">
        <f aca="true" t="shared" si="2" ref="E9:E27">SUM(J9,O9)</f>
        <v>1982.3</v>
      </c>
      <c r="F9" s="735"/>
      <c r="G9" s="736"/>
      <c r="H9" s="734">
        <f aca="true" t="shared" si="3" ref="H9:H27">SUM(I9:L9)</f>
        <v>3185.7</v>
      </c>
      <c r="I9" s="734">
        <v>2190</v>
      </c>
      <c r="J9" s="734">
        <v>995.7</v>
      </c>
      <c r="K9" s="734"/>
      <c r="L9" s="736"/>
      <c r="M9" s="734">
        <f aca="true" t="shared" si="4" ref="M9:M18">SUM(N9:O9)</f>
        <v>1276</v>
      </c>
      <c r="N9" s="737">
        <v>289.4</v>
      </c>
      <c r="O9" s="738">
        <v>986.5999999999999</v>
      </c>
      <c r="Q9">
        <v>1997</v>
      </c>
      <c r="R9" s="4">
        <f t="shared" si="0"/>
        <v>5192.498</v>
      </c>
      <c r="S9" s="4">
        <f t="shared" si="0"/>
        <v>2512.9939999999997</v>
      </c>
      <c r="T9" s="4">
        <f t="shared" si="0"/>
        <v>2679.254</v>
      </c>
      <c r="V9" s="4"/>
    </row>
    <row r="10" spans="2:22" ht="12.75">
      <c r="B10" s="739">
        <v>1996</v>
      </c>
      <c r="C10" s="725">
        <f t="shared" si="1"/>
        <v>4662.605</v>
      </c>
      <c r="D10" s="726">
        <f aca="true" t="shared" si="5" ref="D10:D27">SUM(I10,N10)</f>
        <v>2492.7239999999997</v>
      </c>
      <c r="E10" s="740">
        <f t="shared" si="2"/>
        <v>2169.6310000000003</v>
      </c>
      <c r="F10" s="740"/>
      <c r="G10" s="741">
        <v>0.25</v>
      </c>
      <c r="H10" s="726">
        <f t="shared" si="3"/>
        <v>3352.881</v>
      </c>
      <c r="I10" s="726">
        <v>2200.1839999999997</v>
      </c>
      <c r="J10" s="726">
        <v>1152.4470000000001</v>
      </c>
      <c r="K10" s="726"/>
      <c r="L10" s="742">
        <v>0.25</v>
      </c>
      <c r="M10" s="726">
        <f t="shared" si="4"/>
        <v>1309.724</v>
      </c>
      <c r="N10" s="730">
        <v>292.54</v>
      </c>
      <c r="O10" s="731">
        <v>1017.184</v>
      </c>
      <c r="Q10">
        <v>1998</v>
      </c>
      <c r="R10" s="4">
        <f t="shared" si="0"/>
        <v>5515.29</v>
      </c>
      <c r="S10" s="4">
        <f t="shared" si="0"/>
        <v>2572.061</v>
      </c>
      <c r="T10" s="4">
        <f t="shared" si="0"/>
        <v>2942.979</v>
      </c>
      <c r="V10" s="4"/>
    </row>
    <row r="11" spans="2:22" ht="12.75">
      <c r="B11" s="732">
        <v>1997</v>
      </c>
      <c r="C11" s="733">
        <f t="shared" si="1"/>
        <v>5192.498</v>
      </c>
      <c r="D11" s="734">
        <f t="shared" si="5"/>
        <v>2512.9939999999997</v>
      </c>
      <c r="E11" s="743">
        <f t="shared" si="2"/>
        <v>2679.254</v>
      </c>
      <c r="F11" s="743"/>
      <c r="G11" s="744">
        <v>0.25</v>
      </c>
      <c r="H11" s="734">
        <f t="shared" si="3"/>
        <v>4325.021</v>
      </c>
      <c r="I11" s="734">
        <v>2411.519</v>
      </c>
      <c r="J11" s="734">
        <v>1913.252</v>
      </c>
      <c r="K11" s="734"/>
      <c r="L11" s="745">
        <v>0.25</v>
      </c>
      <c r="M11" s="734">
        <f t="shared" si="4"/>
        <v>867.477</v>
      </c>
      <c r="N11" s="737">
        <v>101.475</v>
      </c>
      <c r="O11" s="738">
        <v>766.002</v>
      </c>
      <c r="Q11">
        <v>1999</v>
      </c>
      <c r="R11" s="4">
        <f t="shared" si="0"/>
        <v>5742.428</v>
      </c>
      <c r="S11" s="4">
        <f t="shared" si="0"/>
        <v>2673.2799999999997</v>
      </c>
      <c r="T11" s="4">
        <f t="shared" si="0"/>
        <v>3068.4480000000003</v>
      </c>
      <c r="V11" s="4"/>
    </row>
    <row r="12" spans="2:22" ht="12.75">
      <c r="B12" s="739">
        <v>1998</v>
      </c>
      <c r="C12" s="725">
        <f t="shared" si="1"/>
        <v>5515.29</v>
      </c>
      <c r="D12" s="726">
        <f t="shared" si="5"/>
        <v>2572.061</v>
      </c>
      <c r="E12" s="740">
        <f t="shared" si="2"/>
        <v>2942.979</v>
      </c>
      <c r="F12" s="740"/>
      <c r="G12" s="741">
        <v>0.25</v>
      </c>
      <c r="H12" s="726">
        <f t="shared" si="3"/>
        <v>4632.278</v>
      </c>
      <c r="I12" s="726">
        <v>2467.416</v>
      </c>
      <c r="J12" s="726">
        <v>2164.6119999999996</v>
      </c>
      <c r="K12" s="726"/>
      <c r="L12" s="742">
        <v>0.25</v>
      </c>
      <c r="M12" s="726">
        <f t="shared" si="4"/>
        <v>883.0120000000001</v>
      </c>
      <c r="N12" s="730">
        <v>104.645</v>
      </c>
      <c r="O12" s="731">
        <v>778.3670000000001</v>
      </c>
      <c r="Q12">
        <v>2000</v>
      </c>
      <c r="R12" s="4">
        <f t="shared" si="0"/>
        <v>6066.189</v>
      </c>
      <c r="S12" s="4">
        <f t="shared" si="0"/>
        <v>2856.8250000000003</v>
      </c>
      <c r="T12" s="4">
        <f t="shared" si="0"/>
        <v>3208.664</v>
      </c>
      <c r="V12" s="4"/>
    </row>
    <row r="13" spans="2:22" ht="12.75">
      <c r="B13" s="732">
        <v>1999</v>
      </c>
      <c r="C13" s="733">
        <f t="shared" si="1"/>
        <v>5742.428</v>
      </c>
      <c r="D13" s="734">
        <f t="shared" si="5"/>
        <v>2673.2799999999997</v>
      </c>
      <c r="E13" s="743">
        <f t="shared" si="2"/>
        <v>3068.4480000000003</v>
      </c>
      <c r="F13" s="743"/>
      <c r="G13" s="744">
        <v>0.7</v>
      </c>
      <c r="H13" s="734">
        <f t="shared" si="3"/>
        <v>4828.2429999999995</v>
      </c>
      <c r="I13" s="734">
        <v>2587.129</v>
      </c>
      <c r="J13" s="734">
        <v>2240.414</v>
      </c>
      <c r="K13" s="734"/>
      <c r="L13" s="745">
        <v>0.7</v>
      </c>
      <c r="M13" s="734">
        <f t="shared" si="4"/>
        <v>914.185</v>
      </c>
      <c r="N13" s="737">
        <v>86.15099999999998</v>
      </c>
      <c r="O13" s="738">
        <v>828.034</v>
      </c>
      <c r="Q13">
        <v>2001</v>
      </c>
      <c r="R13" s="4">
        <f t="shared" si="0"/>
        <v>5906.693</v>
      </c>
      <c r="S13" s="4">
        <f t="shared" si="0"/>
        <v>2966.328</v>
      </c>
      <c r="T13" s="4">
        <f t="shared" si="0"/>
        <v>2939.665</v>
      </c>
      <c r="V13" s="4"/>
    </row>
    <row r="14" spans="2:22" ht="12.75">
      <c r="B14" s="739">
        <v>2000</v>
      </c>
      <c r="C14" s="725">
        <f t="shared" si="1"/>
        <v>6066.189</v>
      </c>
      <c r="D14" s="726">
        <f t="shared" si="5"/>
        <v>2856.8250000000003</v>
      </c>
      <c r="E14" s="740">
        <f t="shared" si="2"/>
        <v>3208.664</v>
      </c>
      <c r="F14" s="740"/>
      <c r="G14" s="741">
        <f>L14</f>
        <v>0.7</v>
      </c>
      <c r="H14" s="726">
        <f t="shared" si="3"/>
        <v>5148.851</v>
      </c>
      <c r="I14" s="726">
        <v>2779.26</v>
      </c>
      <c r="J14" s="726">
        <v>2368.891</v>
      </c>
      <c r="K14" s="726"/>
      <c r="L14" s="742">
        <v>0.7</v>
      </c>
      <c r="M14" s="726">
        <f t="shared" si="4"/>
        <v>917.3380000000002</v>
      </c>
      <c r="N14" s="730">
        <v>77.565</v>
      </c>
      <c r="O14" s="731">
        <v>839.7730000000001</v>
      </c>
      <c r="Q14" s="17">
        <v>2002</v>
      </c>
      <c r="R14" s="4">
        <f t="shared" si="0"/>
        <v>5935.533</v>
      </c>
      <c r="S14" s="4">
        <f t="shared" si="0"/>
        <v>2996.4710000000014</v>
      </c>
      <c r="T14" s="4">
        <f t="shared" si="0"/>
        <v>2938.3619999999996</v>
      </c>
      <c r="V14" s="4"/>
    </row>
    <row r="15" spans="2:22" ht="12.75">
      <c r="B15" s="732">
        <v>2001</v>
      </c>
      <c r="C15" s="733">
        <f t="shared" si="1"/>
        <v>5906.693</v>
      </c>
      <c r="D15" s="734">
        <f t="shared" si="5"/>
        <v>2966.328</v>
      </c>
      <c r="E15" s="743">
        <f t="shared" si="2"/>
        <v>2939.665</v>
      </c>
      <c r="F15" s="743"/>
      <c r="G15" s="745">
        <v>0.7</v>
      </c>
      <c r="H15" s="734">
        <f t="shared" si="3"/>
        <v>5050.813999999999</v>
      </c>
      <c r="I15" s="743">
        <v>2889.433</v>
      </c>
      <c r="J15" s="743">
        <v>2160.681</v>
      </c>
      <c r="K15" s="743"/>
      <c r="L15" s="745">
        <v>0.7</v>
      </c>
      <c r="M15" s="734">
        <f t="shared" si="4"/>
        <v>855.879</v>
      </c>
      <c r="N15" s="737">
        <v>76.895</v>
      </c>
      <c r="O15" s="738">
        <v>778.984</v>
      </c>
      <c r="Q15">
        <v>2003</v>
      </c>
      <c r="R15" s="4">
        <f t="shared" si="0"/>
        <v>5970.063</v>
      </c>
      <c r="S15" s="4">
        <f t="shared" si="0"/>
        <v>3032.3070000000002</v>
      </c>
      <c r="T15" s="4">
        <f t="shared" si="0"/>
        <v>2937.056</v>
      </c>
      <c r="V15" s="4"/>
    </row>
    <row r="16" spans="2:22" ht="12.75">
      <c r="B16" s="739">
        <v>2002</v>
      </c>
      <c r="C16" s="725">
        <f t="shared" si="1"/>
        <v>5935.533</v>
      </c>
      <c r="D16" s="726">
        <f t="shared" si="5"/>
        <v>2996.4710000000014</v>
      </c>
      <c r="E16" s="740">
        <f t="shared" si="2"/>
        <v>2938.3619999999996</v>
      </c>
      <c r="F16" s="740"/>
      <c r="G16" s="742">
        <f aca="true" t="shared" si="6" ref="G16:G27">SUM(L16)</f>
        <v>0.7</v>
      </c>
      <c r="H16" s="726">
        <f t="shared" si="3"/>
        <v>5068.051</v>
      </c>
      <c r="I16" s="740">
        <v>2917.602000000001</v>
      </c>
      <c r="J16" s="740">
        <v>2149.749</v>
      </c>
      <c r="K16" s="740"/>
      <c r="L16" s="742">
        <v>0.7</v>
      </c>
      <c r="M16" s="726">
        <f t="shared" si="4"/>
        <v>867.4819999999997</v>
      </c>
      <c r="N16" s="730">
        <v>78.86899999999997</v>
      </c>
      <c r="O16" s="731">
        <v>788.6129999999998</v>
      </c>
      <c r="Q16">
        <v>2004</v>
      </c>
      <c r="R16" s="4">
        <f t="shared" si="0"/>
        <v>6016.318600000002</v>
      </c>
      <c r="S16" s="4">
        <f t="shared" si="0"/>
        <v>3055.8676000000023</v>
      </c>
      <c r="T16" s="4">
        <f t="shared" si="0"/>
        <v>2959.751</v>
      </c>
      <c r="V16" s="4"/>
    </row>
    <row r="17" spans="1:22" ht="12.75">
      <c r="A17" s="6"/>
      <c r="B17" s="732">
        <v>2003</v>
      </c>
      <c r="C17" s="733">
        <f>SUM(D17:G17)</f>
        <v>5970.063</v>
      </c>
      <c r="D17" s="734">
        <f t="shared" si="5"/>
        <v>3032.3070000000002</v>
      </c>
      <c r="E17" s="743">
        <f t="shared" si="2"/>
        <v>2937.056</v>
      </c>
      <c r="F17" s="743"/>
      <c r="G17" s="745">
        <f t="shared" si="6"/>
        <v>0.7</v>
      </c>
      <c r="H17" s="734">
        <f>SUM(I17:L17)</f>
        <v>5095.103</v>
      </c>
      <c r="I17" s="743">
        <v>2946.8210000000004</v>
      </c>
      <c r="J17" s="743">
        <v>2147.582</v>
      </c>
      <c r="K17" s="743"/>
      <c r="L17" s="745">
        <v>0.7</v>
      </c>
      <c r="M17" s="734">
        <f>SUM(N17:O17)</f>
        <v>874.96</v>
      </c>
      <c r="N17" s="745">
        <v>85.48599999999999</v>
      </c>
      <c r="O17" s="738">
        <v>789.474</v>
      </c>
      <c r="Q17">
        <v>2005</v>
      </c>
      <c r="R17" s="4">
        <f t="shared" si="0"/>
        <v>6200.5256</v>
      </c>
      <c r="S17" s="4">
        <f t="shared" si="0"/>
        <v>3207.0616000000005</v>
      </c>
      <c r="T17" s="4">
        <f t="shared" si="0"/>
        <v>2992.763999999999</v>
      </c>
      <c r="V17" s="4"/>
    </row>
    <row r="18" spans="1:22" ht="12.75">
      <c r="A18" s="6"/>
      <c r="B18" s="739">
        <v>2004</v>
      </c>
      <c r="C18" s="725">
        <f t="shared" si="1"/>
        <v>6016.318600000002</v>
      </c>
      <c r="D18" s="726">
        <f t="shared" si="5"/>
        <v>3055.8676000000023</v>
      </c>
      <c r="E18" s="740">
        <f t="shared" si="2"/>
        <v>2959.751</v>
      </c>
      <c r="F18" s="740"/>
      <c r="G18" s="742">
        <f t="shared" si="6"/>
        <v>0.7</v>
      </c>
      <c r="H18" s="726">
        <f t="shared" si="3"/>
        <v>5096.021600000003</v>
      </c>
      <c r="I18" s="740">
        <v>2969.0596000000023</v>
      </c>
      <c r="J18" s="740">
        <v>2126.262</v>
      </c>
      <c r="K18" s="740"/>
      <c r="L18" s="742">
        <v>0.7</v>
      </c>
      <c r="M18" s="726">
        <f t="shared" si="4"/>
        <v>920.297</v>
      </c>
      <c r="N18" s="742">
        <v>86.80799999999996</v>
      </c>
      <c r="O18" s="731">
        <v>833.489</v>
      </c>
      <c r="Q18">
        <v>2006</v>
      </c>
      <c r="R18" s="4">
        <f t="shared" si="0"/>
        <v>6658.143599999999</v>
      </c>
      <c r="S18" s="4">
        <f t="shared" si="0"/>
        <v>3216.0026</v>
      </c>
      <c r="T18" s="4">
        <f t="shared" si="0"/>
        <v>3441.441</v>
      </c>
      <c r="V18" s="4"/>
    </row>
    <row r="19" spans="1:22" ht="12.75">
      <c r="A19" s="6"/>
      <c r="B19" s="732">
        <v>2005</v>
      </c>
      <c r="C19" s="733">
        <f t="shared" si="1"/>
        <v>6200.5256</v>
      </c>
      <c r="D19" s="734">
        <f t="shared" si="5"/>
        <v>3207.0616000000005</v>
      </c>
      <c r="E19" s="743">
        <f t="shared" si="2"/>
        <v>2992.763999999999</v>
      </c>
      <c r="F19" s="743"/>
      <c r="G19" s="745">
        <f t="shared" si="6"/>
        <v>0.7</v>
      </c>
      <c r="H19" s="734">
        <f t="shared" si="3"/>
        <v>5220.6336</v>
      </c>
      <c r="I19" s="743">
        <v>3119.1996000000004</v>
      </c>
      <c r="J19" s="743">
        <v>2100.7339999999995</v>
      </c>
      <c r="K19" s="743"/>
      <c r="L19" s="745">
        <v>0.7</v>
      </c>
      <c r="M19" s="734">
        <f aca="true" t="shared" si="7" ref="M19:M25">+N19+O19</f>
        <v>979.8919999999999</v>
      </c>
      <c r="N19" s="745">
        <v>87.86199999999998</v>
      </c>
      <c r="O19" s="738">
        <v>892.03</v>
      </c>
      <c r="Q19" s="17">
        <v>2007</v>
      </c>
      <c r="R19" s="4">
        <f t="shared" si="0"/>
        <v>7027.5172</v>
      </c>
      <c r="S19" s="4">
        <f t="shared" si="0"/>
        <v>3233.5982000000004</v>
      </c>
      <c r="T19" s="4">
        <f t="shared" si="0"/>
        <v>3793.219</v>
      </c>
      <c r="V19" s="4"/>
    </row>
    <row r="20" spans="1:22" ht="12.75">
      <c r="A20" s="6"/>
      <c r="B20" s="739">
        <v>2006</v>
      </c>
      <c r="C20" s="725">
        <f>SUM(D20:G20)</f>
        <v>6658.143599999999</v>
      </c>
      <c r="D20" s="726">
        <f t="shared" si="5"/>
        <v>3216.0026</v>
      </c>
      <c r="E20" s="740">
        <f t="shared" si="2"/>
        <v>3441.441</v>
      </c>
      <c r="F20" s="740"/>
      <c r="G20" s="742">
        <f t="shared" si="6"/>
        <v>0.7</v>
      </c>
      <c r="H20" s="726">
        <f>SUM(I20:L20)</f>
        <v>5625.1416</v>
      </c>
      <c r="I20" s="740">
        <v>3127.8006</v>
      </c>
      <c r="J20" s="740">
        <v>2496.641</v>
      </c>
      <c r="K20" s="740"/>
      <c r="L20" s="742">
        <v>0.7</v>
      </c>
      <c r="M20" s="726">
        <f t="shared" si="7"/>
        <v>1033.0019999999997</v>
      </c>
      <c r="N20" s="742">
        <v>88.202</v>
      </c>
      <c r="O20" s="731">
        <v>944.7999999999997</v>
      </c>
      <c r="Q20">
        <v>2008</v>
      </c>
      <c r="R20" s="4">
        <f t="shared" si="0"/>
        <v>7157.935000000003</v>
      </c>
      <c r="S20" s="4">
        <f t="shared" si="0"/>
        <v>3242.0260000000017</v>
      </c>
      <c r="T20" s="4">
        <f t="shared" si="0"/>
        <v>3915.2090000000017</v>
      </c>
      <c r="V20" s="4"/>
    </row>
    <row r="21" spans="2:22" ht="12.75">
      <c r="B21" s="732">
        <v>2007</v>
      </c>
      <c r="C21" s="733">
        <f t="shared" si="1"/>
        <v>7027.5172</v>
      </c>
      <c r="D21" s="734">
        <f t="shared" si="5"/>
        <v>3233.5982000000004</v>
      </c>
      <c r="E21" s="743">
        <f t="shared" si="2"/>
        <v>3793.219</v>
      </c>
      <c r="F21" s="743"/>
      <c r="G21" s="745">
        <f t="shared" si="6"/>
        <v>0.7</v>
      </c>
      <c r="H21" s="734">
        <f t="shared" si="3"/>
        <v>5989.7252</v>
      </c>
      <c r="I21" s="743">
        <v>3145.1412000000005</v>
      </c>
      <c r="J21" s="743">
        <v>2843.884</v>
      </c>
      <c r="K21" s="743"/>
      <c r="L21" s="745">
        <v>0.7</v>
      </c>
      <c r="M21" s="734">
        <f t="shared" si="7"/>
        <v>1037.792</v>
      </c>
      <c r="N21" s="745">
        <v>88.457</v>
      </c>
      <c r="O21" s="738">
        <v>949.3349999999999</v>
      </c>
      <c r="Q21">
        <v>2009</v>
      </c>
      <c r="R21" s="4">
        <f t="shared" si="0"/>
        <v>7986.496000000002</v>
      </c>
      <c r="S21" s="4">
        <f t="shared" si="0"/>
        <v>3277.4640000000018</v>
      </c>
      <c r="T21" s="4">
        <f t="shared" si="0"/>
        <v>4708.332</v>
      </c>
      <c r="V21" s="4"/>
    </row>
    <row r="22" spans="2:22" ht="12.75">
      <c r="B22" s="739">
        <v>2008</v>
      </c>
      <c r="C22" s="725">
        <f t="shared" si="1"/>
        <v>7157.935000000003</v>
      </c>
      <c r="D22" s="726">
        <f t="shared" si="5"/>
        <v>3242.0260000000017</v>
      </c>
      <c r="E22" s="727">
        <f t="shared" si="2"/>
        <v>3915.2090000000017</v>
      </c>
      <c r="F22" s="727"/>
      <c r="G22" s="742">
        <f t="shared" si="6"/>
        <v>0.7</v>
      </c>
      <c r="H22" s="726">
        <f t="shared" si="3"/>
        <v>5996.983000000003</v>
      </c>
      <c r="I22" s="740">
        <v>3152.038000000002</v>
      </c>
      <c r="J22" s="740">
        <v>2844.245000000001</v>
      </c>
      <c r="K22" s="740"/>
      <c r="L22" s="742">
        <v>0.7</v>
      </c>
      <c r="M22" s="726">
        <f t="shared" si="7"/>
        <v>1160.9520000000007</v>
      </c>
      <c r="N22" s="742">
        <v>89.98799999999997</v>
      </c>
      <c r="O22" s="731">
        <v>1070.9640000000006</v>
      </c>
      <c r="Q22">
        <v>2010</v>
      </c>
      <c r="R22" s="4">
        <f t="shared" si="0"/>
        <v>8612.556999999999</v>
      </c>
      <c r="S22" s="4">
        <f t="shared" si="0"/>
        <v>3437.602</v>
      </c>
      <c r="T22" s="4">
        <f t="shared" si="0"/>
        <v>5174.254999999998</v>
      </c>
      <c r="V22" s="4"/>
    </row>
    <row r="23" spans="2:22" ht="12.75">
      <c r="B23" s="732">
        <v>2009</v>
      </c>
      <c r="C23" s="733">
        <f t="shared" si="1"/>
        <v>7986.496000000002</v>
      </c>
      <c r="D23" s="734">
        <f t="shared" si="5"/>
        <v>3277.4640000000018</v>
      </c>
      <c r="E23" s="735">
        <f t="shared" si="2"/>
        <v>4708.332</v>
      </c>
      <c r="F23" s="735"/>
      <c r="G23" s="745">
        <f t="shared" si="6"/>
        <v>0.7</v>
      </c>
      <c r="H23" s="734">
        <f t="shared" si="3"/>
        <v>6723.516000000002</v>
      </c>
      <c r="I23" s="743">
        <v>3183.1260000000016</v>
      </c>
      <c r="J23" s="743">
        <v>3539.6900000000005</v>
      </c>
      <c r="K23" s="743"/>
      <c r="L23" s="745">
        <v>0.7</v>
      </c>
      <c r="M23" s="734">
        <f t="shared" si="7"/>
        <v>1262.9800000000002</v>
      </c>
      <c r="N23" s="745">
        <v>94.338</v>
      </c>
      <c r="O23" s="738">
        <v>1168.6420000000003</v>
      </c>
      <c r="Q23">
        <v>2011</v>
      </c>
      <c r="R23" s="4">
        <f t="shared" si="0"/>
        <v>8691.324</v>
      </c>
      <c r="S23" s="4">
        <f t="shared" si="0"/>
        <v>3450.953</v>
      </c>
      <c r="T23" s="4">
        <f t="shared" si="0"/>
        <v>5239.671</v>
      </c>
      <c r="V23" s="4"/>
    </row>
    <row r="24" spans="2:22" ht="12.75">
      <c r="B24" s="739">
        <v>2010</v>
      </c>
      <c r="C24" s="725">
        <f t="shared" si="1"/>
        <v>8612.556999999999</v>
      </c>
      <c r="D24" s="726">
        <f t="shared" si="5"/>
        <v>3437.602</v>
      </c>
      <c r="E24" s="727">
        <f t="shared" si="2"/>
        <v>5174.254999999998</v>
      </c>
      <c r="F24" s="727"/>
      <c r="G24" s="742">
        <f t="shared" si="6"/>
        <v>0.7</v>
      </c>
      <c r="H24" s="726">
        <f t="shared" si="3"/>
        <v>7309.165999999998</v>
      </c>
      <c r="I24" s="740">
        <v>3344.795</v>
      </c>
      <c r="J24" s="740">
        <v>3963.670999999999</v>
      </c>
      <c r="K24" s="740"/>
      <c r="L24" s="742">
        <v>0.7</v>
      </c>
      <c r="M24" s="726">
        <f>+N24+O24</f>
        <v>1303.3909999999996</v>
      </c>
      <c r="N24" s="742">
        <v>92.80700000000002</v>
      </c>
      <c r="O24" s="731">
        <v>1210.5839999999996</v>
      </c>
      <c r="Q24">
        <v>2012</v>
      </c>
      <c r="R24" s="4">
        <f aca="true" t="shared" si="8" ref="R24:U25">C26</f>
        <v>9699.096999999998</v>
      </c>
      <c r="S24" s="4">
        <f t="shared" si="8"/>
        <v>3483.973999999999</v>
      </c>
      <c r="T24" s="4">
        <f t="shared" si="8"/>
        <v>6134.422999999999</v>
      </c>
      <c r="U24" s="4">
        <f t="shared" si="8"/>
        <v>80</v>
      </c>
      <c r="V24" s="4"/>
    </row>
    <row r="25" spans="2:22" ht="12.75">
      <c r="B25" s="732">
        <v>2011</v>
      </c>
      <c r="C25" s="733">
        <f t="shared" si="1"/>
        <v>8691.324</v>
      </c>
      <c r="D25" s="734">
        <f t="shared" si="5"/>
        <v>3450.953</v>
      </c>
      <c r="E25" s="735">
        <f t="shared" si="2"/>
        <v>5239.671</v>
      </c>
      <c r="F25" s="735"/>
      <c r="G25" s="745">
        <f t="shared" si="6"/>
        <v>0.7</v>
      </c>
      <c r="H25" s="734">
        <f t="shared" si="3"/>
        <v>7314.237</v>
      </c>
      <c r="I25" s="734">
        <v>3357.06</v>
      </c>
      <c r="J25" s="734">
        <v>3956.4770000000003</v>
      </c>
      <c r="K25" s="743"/>
      <c r="L25" s="745">
        <v>0.7</v>
      </c>
      <c r="M25" s="734">
        <f t="shared" si="7"/>
        <v>1377.087</v>
      </c>
      <c r="N25" s="734">
        <v>93.893</v>
      </c>
      <c r="O25" s="734">
        <v>1283.194</v>
      </c>
      <c r="Q25">
        <v>2013</v>
      </c>
      <c r="R25" s="4">
        <f t="shared" si="8"/>
        <v>11050.719000000001</v>
      </c>
      <c r="S25" s="4">
        <f t="shared" si="8"/>
        <v>3556.182</v>
      </c>
      <c r="T25" s="4">
        <f t="shared" si="8"/>
        <v>7413.8369999999995</v>
      </c>
      <c r="U25" s="4">
        <f t="shared" si="8"/>
        <v>80</v>
      </c>
      <c r="V25" s="4"/>
    </row>
    <row r="26" spans="2:22" ht="12.75">
      <c r="B26" s="746">
        <v>2012</v>
      </c>
      <c r="C26" s="747">
        <f t="shared" si="1"/>
        <v>9699.096999999998</v>
      </c>
      <c r="D26" s="748">
        <f>SUM(I26,N26)</f>
        <v>3483.973999999999</v>
      </c>
      <c r="E26" s="23">
        <f>SUM(J26,O26)</f>
        <v>6134.422999999999</v>
      </c>
      <c r="F26" s="26">
        <f>SUM(K26)</f>
        <v>80</v>
      </c>
      <c r="G26" s="26">
        <f t="shared" si="6"/>
        <v>0.7</v>
      </c>
      <c r="H26" s="748">
        <f t="shared" si="3"/>
        <v>8267.170999999998</v>
      </c>
      <c r="I26" s="740">
        <v>3380.829999999999</v>
      </c>
      <c r="J26" s="740">
        <v>4805.640999999999</v>
      </c>
      <c r="K26" s="25">
        <v>80</v>
      </c>
      <c r="L26" s="26">
        <v>0.7</v>
      </c>
      <c r="M26" s="748">
        <f>+N26+O26</f>
        <v>1431.9260000000006</v>
      </c>
      <c r="N26" s="742">
        <v>103.14399999999998</v>
      </c>
      <c r="O26" s="731">
        <v>1328.7820000000006</v>
      </c>
      <c r="Q26">
        <v>2014</v>
      </c>
      <c r="R26" s="4">
        <f>C28</f>
        <v>11202.619</v>
      </c>
      <c r="S26" s="4">
        <f>D28</f>
        <v>3661.8649999999993</v>
      </c>
      <c r="T26" s="4">
        <f>E28</f>
        <v>7302.054000000001</v>
      </c>
      <c r="U26" s="4">
        <f>F28</f>
        <v>96</v>
      </c>
      <c r="V26" s="4">
        <f>G28</f>
        <v>142.7</v>
      </c>
    </row>
    <row r="27" spans="2:20" ht="12.75">
      <c r="B27" s="749">
        <v>2013</v>
      </c>
      <c r="C27" s="750">
        <f t="shared" si="1"/>
        <v>11050.719000000001</v>
      </c>
      <c r="D27" s="751">
        <f t="shared" si="5"/>
        <v>3556.182</v>
      </c>
      <c r="E27" s="752">
        <f t="shared" si="2"/>
        <v>7413.8369999999995</v>
      </c>
      <c r="F27" s="753">
        <f>SUM(K27)</f>
        <v>80</v>
      </c>
      <c r="G27" s="753">
        <f t="shared" si="6"/>
        <v>0.7</v>
      </c>
      <c r="H27" s="751">
        <f t="shared" si="3"/>
        <v>9634.631000000001</v>
      </c>
      <c r="I27" s="754">
        <v>3450.5469999999996</v>
      </c>
      <c r="J27" s="754">
        <v>6103.384</v>
      </c>
      <c r="K27" s="754">
        <v>80</v>
      </c>
      <c r="L27" s="753">
        <v>0.7</v>
      </c>
      <c r="M27" s="751">
        <f>+N27+O27</f>
        <v>1416.088</v>
      </c>
      <c r="N27" s="753">
        <v>105.63500000000002</v>
      </c>
      <c r="O27" s="755">
        <v>1310.453</v>
      </c>
      <c r="R27" s="4"/>
      <c r="S27" s="4"/>
      <c r="T27" s="4"/>
    </row>
    <row r="28" spans="2:20" ht="12.75">
      <c r="B28" s="756">
        <v>2014</v>
      </c>
      <c r="C28" s="725">
        <f>SUM(D28:G28)</f>
        <v>11202.619</v>
      </c>
      <c r="D28" s="726">
        <f>SUM(I28,N28)</f>
        <v>3661.8649999999993</v>
      </c>
      <c r="E28" s="727">
        <f>SUM(J28,O28)</f>
        <v>7302.054000000001</v>
      </c>
      <c r="F28" s="727">
        <f>SUM(K28)</f>
        <v>96</v>
      </c>
      <c r="G28" s="742">
        <f>SUM(L28)</f>
        <v>142.7</v>
      </c>
      <c r="H28" s="726">
        <f>SUM(I28:L28)</f>
        <v>9739.248000000001</v>
      </c>
      <c r="I28" s="740">
        <v>3558.2689999999993</v>
      </c>
      <c r="J28" s="740">
        <v>5942.279000000001</v>
      </c>
      <c r="K28" s="740">
        <v>96</v>
      </c>
      <c r="L28" s="742">
        <v>142.7</v>
      </c>
      <c r="M28" s="726">
        <f>+N28+O28</f>
        <v>1463.3709999999996</v>
      </c>
      <c r="N28" s="742">
        <v>103.596</v>
      </c>
      <c r="O28" s="731">
        <v>1359.7749999999996</v>
      </c>
      <c r="R28" s="4"/>
      <c r="S28" s="4"/>
      <c r="T28" s="4"/>
    </row>
    <row r="29" spans="2:20" ht="13.5" thickBot="1">
      <c r="B29" s="746"/>
      <c r="C29" s="747"/>
      <c r="D29" s="748"/>
      <c r="E29" s="23"/>
      <c r="F29" s="559"/>
      <c r="G29" s="26"/>
      <c r="H29" s="748"/>
      <c r="I29" s="25"/>
      <c r="J29" s="25"/>
      <c r="K29" s="25"/>
      <c r="L29" s="26"/>
      <c r="M29" s="748"/>
      <c r="N29" s="26"/>
      <c r="O29" s="757"/>
      <c r="R29" s="4"/>
      <c r="S29" s="4"/>
      <c r="T29" s="4"/>
    </row>
    <row r="30" spans="2:20" ht="12.75">
      <c r="B30" s="229" t="s">
        <v>273</v>
      </c>
      <c r="C30" s="758">
        <f>(C28/C27)-1</f>
        <v>0.013745711930599258</v>
      </c>
      <c r="D30" s="759">
        <f>(D28/D27)-1</f>
        <v>0.029718107790883463</v>
      </c>
      <c r="E30" s="760">
        <f>(E28/E27)-1</f>
        <v>-0.015077617703221469</v>
      </c>
      <c r="F30" s="761"/>
      <c r="G30" s="762"/>
      <c r="H30" s="763">
        <f>(H28/H27)-1</f>
        <v>0.01085843349890614</v>
      </c>
      <c r="I30" s="759">
        <f>(I28/I27)-1</f>
        <v>0.03121881834967022</v>
      </c>
      <c r="J30" s="764">
        <f>(J28/J27)-1</f>
        <v>-0.026396012441622374</v>
      </c>
      <c r="K30" s="765"/>
      <c r="L30" s="762"/>
      <c r="M30" s="758">
        <f>(M28/M27)-1</f>
        <v>0.03338987407562222</v>
      </c>
      <c r="N30" s="766">
        <f>(N28/N27)-1</f>
        <v>-0.019302314573768298</v>
      </c>
      <c r="O30" s="760">
        <f>(O28/O27)-1</f>
        <v>0.03763736662055006</v>
      </c>
      <c r="R30" s="4"/>
      <c r="S30" s="4"/>
      <c r="T30" s="4"/>
    </row>
    <row r="31" spans="2:20" s="6" customFormat="1" ht="12.75" customHeight="1">
      <c r="B31" s="767" t="s">
        <v>274</v>
      </c>
      <c r="C31" s="768">
        <f>((C28/C23)^(1/5))-1</f>
        <v>0.07002187797416326</v>
      </c>
      <c r="D31" s="769">
        <f>((D28/D23)^(1/5))-1</f>
        <v>0.022428342272153845</v>
      </c>
      <c r="E31" s="770">
        <f>((E28/E23)^(1/5))-1</f>
        <v>0.09173087409276603</v>
      </c>
      <c r="F31" s="761"/>
      <c r="G31" s="771"/>
      <c r="H31" s="768">
        <f>((H28/H23)^(1/5))-1</f>
        <v>0.07692583697731004</v>
      </c>
      <c r="I31" s="769">
        <f>((I28/I23)^(1/5))-1</f>
        <v>0.02253219150007668</v>
      </c>
      <c r="J31" s="770">
        <f>((J28/J23)^(1/5))-1</f>
        <v>0.10916858864140777</v>
      </c>
      <c r="K31" s="761"/>
      <c r="L31" s="772"/>
      <c r="M31" s="768">
        <f>((M28/M23)^(1/5))-1</f>
        <v>0.029891785494390533</v>
      </c>
      <c r="N31" s="769">
        <f>((N28/N23)^(1/5))-1</f>
        <v>0.018899301306820382</v>
      </c>
      <c r="O31" s="770">
        <f>((O28/O23)^(1/5))-1</f>
        <v>0.03075894507827348</v>
      </c>
      <c r="R31" s="773"/>
      <c r="S31" s="773"/>
      <c r="T31" s="773"/>
    </row>
    <row r="32" spans="2:20" ht="12.75">
      <c r="B32" s="774" t="s">
        <v>275</v>
      </c>
      <c r="C32" s="775">
        <f>(C28/C18)-1</f>
        <v>0.8620388554555598</v>
      </c>
      <c r="D32" s="776">
        <f>(D28/D18)-1</f>
        <v>0.19830617007097961</v>
      </c>
      <c r="E32" s="777">
        <f>(E28/E18)-1</f>
        <v>1.467117673074526</v>
      </c>
      <c r="F32" s="761"/>
      <c r="G32" s="771"/>
      <c r="H32" s="775">
        <f>(H28/H18)-1</f>
        <v>0.9111473153881444</v>
      </c>
      <c r="I32" s="776">
        <f>(I28/I18)-1</f>
        <v>0.19844983913424863</v>
      </c>
      <c r="J32" s="777">
        <f>(J28/J18)-1</f>
        <v>1.7947068611488146</v>
      </c>
      <c r="K32" s="761"/>
      <c r="L32" s="772"/>
      <c r="M32" s="775">
        <f>(M28/M18)-1</f>
        <v>0.5901073240486492</v>
      </c>
      <c r="N32" s="776">
        <f>(N28/N18)-1</f>
        <v>0.1933923140724363</v>
      </c>
      <c r="O32" s="777">
        <f>(O28/O18)-1</f>
        <v>0.6314252497633437</v>
      </c>
      <c r="R32" s="4"/>
      <c r="S32" s="4"/>
      <c r="T32" s="4"/>
    </row>
    <row r="33" spans="2:15" s="6" customFormat="1" ht="12.75" customHeight="1" thickBot="1">
      <c r="B33" s="778" t="s">
        <v>276</v>
      </c>
      <c r="C33" s="779">
        <f>((C28/C18)^(1/10))-1</f>
        <v>0.06414025902426901</v>
      </c>
      <c r="D33" s="780">
        <f>((D28/D18)^(1/10))-1</f>
        <v>0.018255535145623725</v>
      </c>
      <c r="E33" s="781">
        <f>((E28/E18)^(1/10))-1</f>
        <v>0.09450811634481315</v>
      </c>
      <c r="F33" s="761"/>
      <c r="G33" s="772"/>
      <c r="H33" s="779">
        <f>((H28/H18)^(1/10))-1</f>
        <v>0.06691400616836507</v>
      </c>
      <c r="I33" s="780">
        <f>((I28/I18)^(1/10))-1</f>
        <v>0.0182677427041269</v>
      </c>
      <c r="J33" s="782">
        <f>((J28/J18)^(1/10))-1</f>
        <v>0.10823950214543943</v>
      </c>
      <c r="K33" s="761"/>
      <c r="L33" s="772"/>
      <c r="M33" s="779">
        <f>((M28/M18)^(1/10))-1</f>
        <v>0.04747253336130397</v>
      </c>
      <c r="N33" s="780">
        <f>((N28/N18)^(1/10))-1</f>
        <v>0.017837209819429933</v>
      </c>
      <c r="O33" s="782">
        <f>((O28/O18)^(1/10))-1</f>
        <v>0.05016301228256492</v>
      </c>
    </row>
    <row r="34" spans="2:18" ht="12.75">
      <c r="B34" s="783"/>
      <c r="R34" t="s">
        <v>46</v>
      </c>
    </row>
    <row r="35" spans="2:22" ht="12.75">
      <c r="B35" s="57"/>
      <c r="R35" t="s">
        <v>0</v>
      </c>
      <c r="S35" t="s">
        <v>4</v>
      </c>
      <c r="T35" t="s">
        <v>5</v>
      </c>
      <c r="U35" s="240" t="s">
        <v>59</v>
      </c>
      <c r="V35" s="240" t="s">
        <v>6</v>
      </c>
    </row>
    <row r="36" spans="17:22" ht="12.75">
      <c r="Q36">
        <v>1995</v>
      </c>
      <c r="R36" s="4">
        <f aca="true" t="shared" si="9" ref="R36:T52">H9</f>
        <v>3185.7</v>
      </c>
      <c r="S36" s="4">
        <f t="shared" si="9"/>
        <v>2190</v>
      </c>
      <c r="T36" s="4">
        <f t="shared" si="9"/>
        <v>995.7</v>
      </c>
      <c r="V36" s="4"/>
    </row>
    <row r="37" spans="17:22" ht="12.75">
      <c r="Q37">
        <v>1996</v>
      </c>
      <c r="R37" s="4">
        <f t="shared" si="9"/>
        <v>3352.881</v>
      </c>
      <c r="S37" s="4">
        <f t="shared" si="9"/>
        <v>2200.1839999999997</v>
      </c>
      <c r="T37" s="4">
        <f t="shared" si="9"/>
        <v>1152.4470000000001</v>
      </c>
      <c r="V37" s="4"/>
    </row>
    <row r="38" spans="17:22" ht="12.75">
      <c r="Q38">
        <v>1997</v>
      </c>
      <c r="R38" s="4">
        <f t="shared" si="9"/>
        <v>4325.021</v>
      </c>
      <c r="S38" s="4">
        <f t="shared" si="9"/>
        <v>2411.519</v>
      </c>
      <c r="T38" s="4">
        <f t="shared" si="9"/>
        <v>1913.252</v>
      </c>
      <c r="V38" s="4"/>
    </row>
    <row r="39" spans="17:22" ht="12.75">
      <c r="Q39">
        <v>1998</v>
      </c>
      <c r="R39" s="4">
        <f t="shared" si="9"/>
        <v>4632.278</v>
      </c>
      <c r="S39" s="4">
        <f t="shared" si="9"/>
        <v>2467.416</v>
      </c>
      <c r="T39" s="4">
        <f t="shared" si="9"/>
        <v>2164.6119999999996</v>
      </c>
      <c r="V39" s="4"/>
    </row>
    <row r="40" spans="17:22" ht="12.75">
      <c r="Q40">
        <v>1999</v>
      </c>
      <c r="R40" s="4">
        <f t="shared" si="9"/>
        <v>4828.2429999999995</v>
      </c>
      <c r="S40" s="4">
        <f t="shared" si="9"/>
        <v>2587.129</v>
      </c>
      <c r="T40" s="4">
        <f t="shared" si="9"/>
        <v>2240.414</v>
      </c>
      <c r="V40" s="4"/>
    </row>
    <row r="41" spans="17:22" ht="12.75">
      <c r="Q41">
        <v>2000</v>
      </c>
      <c r="R41" s="4">
        <f t="shared" si="9"/>
        <v>5148.851</v>
      </c>
      <c r="S41" s="4">
        <f t="shared" si="9"/>
        <v>2779.26</v>
      </c>
      <c r="T41" s="4">
        <f t="shared" si="9"/>
        <v>2368.891</v>
      </c>
      <c r="V41" s="4"/>
    </row>
    <row r="42" spans="17:22" ht="12.75">
      <c r="Q42">
        <v>2001</v>
      </c>
      <c r="R42" s="4">
        <f t="shared" si="9"/>
        <v>5050.813999999999</v>
      </c>
      <c r="S42" s="4">
        <f t="shared" si="9"/>
        <v>2889.433</v>
      </c>
      <c r="T42" s="4">
        <f t="shared" si="9"/>
        <v>2160.681</v>
      </c>
      <c r="V42" s="4"/>
    </row>
    <row r="43" spans="17:22" ht="12.75">
      <c r="Q43" s="17">
        <v>2002</v>
      </c>
      <c r="R43" s="4">
        <f t="shared" si="9"/>
        <v>5068.051</v>
      </c>
      <c r="S43" s="4">
        <f t="shared" si="9"/>
        <v>2917.602000000001</v>
      </c>
      <c r="T43" s="4">
        <f t="shared" si="9"/>
        <v>2149.749</v>
      </c>
      <c r="V43" s="4"/>
    </row>
    <row r="44" spans="17:22" ht="12.75">
      <c r="Q44">
        <v>2003</v>
      </c>
      <c r="R44" s="4">
        <f t="shared" si="9"/>
        <v>5095.103</v>
      </c>
      <c r="S44" s="4">
        <f t="shared" si="9"/>
        <v>2946.8210000000004</v>
      </c>
      <c r="T44" s="4">
        <f t="shared" si="9"/>
        <v>2147.582</v>
      </c>
      <c r="V44" s="4"/>
    </row>
    <row r="45" spans="17:22" ht="12.75">
      <c r="Q45">
        <v>2004</v>
      </c>
      <c r="R45" s="4">
        <f t="shared" si="9"/>
        <v>5096.021600000003</v>
      </c>
      <c r="S45" s="4">
        <f t="shared" si="9"/>
        <v>2969.0596000000023</v>
      </c>
      <c r="T45" s="4">
        <f t="shared" si="9"/>
        <v>2126.262</v>
      </c>
      <c r="V45" s="4"/>
    </row>
    <row r="46" spans="17:22" ht="12.75">
      <c r="Q46">
        <v>2005</v>
      </c>
      <c r="R46" s="4">
        <f t="shared" si="9"/>
        <v>5220.6336</v>
      </c>
      <c r="S46" s="4">
        <f t="shared" si="9"/>
        <v>3119.1996000000004</v>
      </c>
      <c r="T46" s="4">
        <f t="shared" si="9"/>
        <v>2100.7339999999995</v>
      </c>
      <c r="V46" s="4"/>
    </row>
    <row r="47" spans="17:22" ht="12.75">
      <c r="Q47">
        <v>2006</v>
      </c>
      <c r="R47" s="4">
        <f t="shared" si="9"/>
        <v>5625.1416</v>
      </c>
      <c r="S47" s="4">
        <f t="shared" si="9"/>
        <v>3127.8006</v>
      </c>
      <c r="T47" s="4">
        <f t="shared" si="9"/>
        <v>2496.641</v>
      </c>
      <c r="V47" s="4"/>
    </row>
    <row r="48" spans="17:22" ht="12.75">
      <c r="Q48" s="17">
        <v>2007</v>
      </c>
      <c r="R48" s="4">
        <f t="shared" si="9"/>
        <v>5989.7252</v>
      </c>
      <c r="S48" s="4">
        <f t="shared" si="9"/>
        <v>3145.1412000000005</v>
      </c>
      <c r="T48" s="4">
        <f t="shared" si="9"/>
        <v>2843.884</v>
      </c>
      <c r="V48" s="4"/>
    </row>
    <row r="49" spans="17:22" ht="12.75">
      <c r="Q49">
        <v>2008</v>
      </c>
      <c r="R49" s="4">
        <f t="shared" si="9"/>
        <v>5996.983000000003</v>
      </c>
      <c r="S49" s="4">
        <f t="shared" si="9"/>
        <v>3152.038000000002</v>
      </c>
      <c r="T49" s="4">
        <f t="shared" si="9"/>
        <v>2844.245000000001</v>
      </c>
      <c r="V49" s="4"/>
    </row>
    <row r="50" spans="17:22" ht="12.75">
      <c r="Q50">
        <v>2009</v>
      </c>
      <c r="R50" s="4">
        <f t="shared" si="9"/>
        <v>6723.516000000002</v>
      </c>
      <c r="S50" s="4">
        <f t="shared" si="9"/>
        <v>3183.1260000000016</v>
      </c>
      <c r="T50" s="4">
        <f t="shared" si="9"/>
        <v>3539.6900000000005</v>
      </c>
      <c r="V50" s="4"/>
    </row>
    <row r="51" spans="17:22" ht="12.75">
      <c r="Q51">
        <v>2010</v>
      </c>
      <c r="R51" s="4">
        <f t="shared" si="9"/>
        <v>7309.165999999998</v>
      </c>
      <c r="S51" s="4">
        <f t="shared" si="9"/>
        <v>3344.795</v>
      </c>
      <c r="T51" s="4">
        <f t="shared" si="9"/>
        <v>3963.670999999999</v>
      </c>
      <c r="V51" s="4"/>
    </row>
    <row r="52" spans="17:22" ht="12.75">
      <c r="Q52">
        <v>2011</v>
      </c>
      <c r="R52" s="4">
        <f t="shared" si="9"/>
        <v>7314.237</v>
      </c>
      <c r="S52" s="4">
        <f t="shared" si="9"/>
        <v>3357.06</v>
      </c>
      <c r="T52" s="4">
        <f t="shared" si="9"/>
        <v>3956.4770000000003</v>
      </c>
      <c r="V52" s="4"/>
    </row>
    <row r="53" spans="17:22" ht="12.75">
      <c r="Q53">
        <v>2012</v>
      </c>
      <c r="R53" s="4">
        <f aca="true" t="shared" si="10" ref="R53:U54">H26</f>
        <v>8267.170999999998</v>
      </c>
      <c r="S53" s="4">
        <f t="shared" si="10"/>
        <v>3380.829999999999</v>
      </c>
      <c r="T53" s="4">
        <f t="shared" si="10"/>
        <v>4805.640999999999</v>
      </c>
      <c r="U53" s="4">
        <f t="shared" si="10"/>
        <v>80</v>
      </c>
      <c r="V53" s="4"/>
    </row>
    <row r="54" spans="17:22" ht="12.75">
      <c r="Q54">
        <v>2013</v>
      </c>
      <c r="R54" s="4">
        <f t="shared" si="10"/>
        <v>9634.631000000001</v>
      </c>
      <c r="S54" s="4">
        <f t="shared" si="10"/>
        <v>3450.5469999999996</v>
      </c>
      <c r="T54" s="4">
        <f t="shared" si="10"/>
        <v>6103.384</v>
      </c>
      <c r="U54" s="4">
        <f t="shared" si="10"/>
        <v>80</v>
      </c>
      <c r="V54" s="4"/>
    </row>
    <row r="55" spans="17:22" ht="12.75">
      <c r="Q55">
        <v>2014</v>
      </c>
      <c r="R55" s="4">
        <f>H28</f>
        <v>9739.248000000001</v>
      </c>
      <c r="S55" s="4">
        <f>I28</f>
        <v>3558.2689999999993</v>
      </c>
      <c r="T55" s="4">
        <f>J28</f>
        <v>5942.279000000001</v>
      </c>
      <c r="U55" s="4">
        <f>K28</f>
        <v>96</v>
      </c>
      <c r="V55" s="4">
        <f>L28</f>
        <v>142.7</v>
      </c>
    </row>
    <row r="57" ht="12.75">
      <c r="R57" t="s">
        <v>47</v>
      </c>
    </row>
    <row r="58" spans="18:20" ht="12.75">
      <c r="R58" t="s">
        <v>0</v>
      </c>
      <c r="S58" t="s">
        <v>4</v>
      </c>
      <c r="T58" t="s">
        <v>5</v>
      </c>
    </row>
    <row r="59" spans="17:20" ht="12.75">
      <c r="Q59">
        <v>1995</v>
      </c>
      <c r="R59" s="4">
        <f aca="true" t="shared" si="11" ref="R59:T77">M9</f>
        <v>1276</v>
      </c>
      <c r="S59" s="4">
        <f t="shared" si="11"/>
        <v>289.4</v>
      </c>
      <c r="T59" s="4">
        <f t="shared" si="11"/>
        <v>986.5999999999999</v>
      </c>
    </row>
    <row r="60" spans="17:20" ht="12.75">
      <c r="Q60">
        <v>1996</v>
      </c>
      <c r="R60" s="4">
        <f t="shared" si="11"/>
        <v>1309.724</v>
      </c>
      <c r="S60" s="4">
        <f t="shared" si="11"/>
        <v>292.54</v>
      </c>
      <c r="T60" s="4">
        <f t="shared" si="11"/>
        <v>1017.184</v>
      </c>
    </row>
    <row r="61" spans="17:20" ht="12.75">
      <c r="Q61">
        <v>1997</v>
      </c>
      <c r="R61" s="4">
        <f t="shared" si="11"/>
        <v>867.477</v>
      </c>
      <c r="S61" s="4">
        <f t="shared" si="11"/>
        <v>101.475</v>
      </c>
      <c r="T61" s="4">
        <f t="shared" si="11"/>
        <v>766.002</v>
      </c>
    </row>
    <row r="62" spans="17:20" ht="12.75">
      <c r="Q62">
        <v>1998</v>
      </c>
      <c r="R62" s="4">
        <f t="shared" si="11"/>
        <v>883.0120000000001</v>
      </c>
      <c r="S62" s="4">
        <f t="shared" si="11"/>
        <v>104.645</v>
      </c>
      <c r="T62" s="4">
        <f t="shared" si="11"/>
        <v>778.3670000000001</v>
      </c>
    </row>
    <row r="63" spans="17:20" ht="12.75">
      <c r="Q63">
        <v>1999</v>
      </c>
      <c r="R63" s="4">
        <f t="shared" si="11"/>
        <v>914.185</v>
      </c>
      <c r="S63" s="4">
        <f t="shared" si="11"/>
        <v>86.15099999999998</v>
      </c>
      <c r="T63" s="4">
        <f t="shared" si="11"/>
        <v>828.034</v>
      </c>
    </row>
    <row r="64" spans="17:20" ht="12.75">
      <c r="Q64">
        <v>2000</v>
      </c>
      <c r="R64" s="4">
        <f t="shared" si="11"/>
        <v>917.3380000000002</v>
      </c>
      <c r="S64" s="4">
        <f t="shared" si="11"/>
        <v>77.565</v>
      </c>
      <c r="T64" s="4">
        <f t="shared" si="11"/>
        <v>839.7730000000001</v>
      </c>
    </row>
    <row r="65" spans="17:20" ht="12.75">
      <c r="Q65">
        <v>2001</v>
      </c>
      <c r="R65" s="4">
        <f t="shared" si="11"/>
        <v>855.879</v>
      </c>
      <c r="S65" s="4">
        <f t="shared" si="11"/>
        <v>76.895</v>
      </c>
      <c r="T65" s="4">
        <f t="shared" si="11"/>
        <v>778.984</v>
      </c>
    </row>
    <row r="66" spans="17:20" ht="12.75">
      <c r="Q66">
        <v>2002</v>
      </c>
      <c r="R66" s="4">
        <f t="shared" si="11"/>
        <v>867.4819999999997</v>
      </c>
      <c r="S66" s="4">
        <f t="shared" si="11"/>
        <v>78.86899999999997</v>
      </c>
      <c r="T66" s="4">
        <f t="shared" si="11"/>
        <v>788.6129999999998</v>
      </c>
    </row>
    <row r="67" spans="17:20" ht="12.75">
      <c r="Q67">
        <v>2003</v>
      </c>
      <c r="R67" s="4">
        <f t="shared" si="11"/>
        <v>874.96</v>
      </c>
      <c r="S67" s="4">
        <f t="shared" si="11"/>
        <v>85.48599999999999</v>
      </c>
      <c r="T67" s="4">
        <f t="shared" si="11"/>
        <v>789.474</v>
      </c>
    </row>
    <row r="68" spans="17:20" ht="12.75">
      <c r="Q68">
        <v>2004</v>
      </c>
      <c r="R68" s="4">
        <f t="shared" si="11"/>
        <v>920.297</v>
      </c>
      <c r="S68" s="4">
        <f t="shared" si="11"/>
        <v>86.80799999999996</v>
      </c>
      <c r="T68" s="4">
        <f t="shared" si="11"/>
        <v>833.489</v>
      </c>
    </row>
    <row r="69" spans="17:20" ht="12.75">
      <c r="Q69">
        <v>2005</v>
      </c>
      <c r="R69" s="4">
        <f t="shared" si="11"/>
        <v>979.8919999999999</v>
      </c>
      <c r="S69" s="4">
        <f t="shared" si="11"/>
        <v>87.86199999999998</v>
      </c>
      <c r="T69" s="4">
        <f t="shared" si="11"/>
        <v>892.03</v>
      </c>
    </row>
    <row r="70" spans="17:20" ht="12.75">
      <c r="Q70">
        <v>2006</v>
      </c>
      <c r="R70" s="4">
        <f t="shared" si="11"/>
        <v>1033.0019999999997</v>
      </c>
      <c r="S70" s="4">
        <f t="shared" si="11"/>
        <v>88.202</v>
      </c>
      <c r="T70" s="4">
        <f t="shared" si="11"/>
        <v>944.7999999999997</v>
      </c>
    </row>
    <row r="71" spans="17:20" ht="12.75">
      <c r="Q71" s="17">
        <v>2007</v>
      </c>
      <c r="R71" s="4">
        <f t="shared" si="11"/>
        <v>1037.792</v>
      </c>
      <c r="S71" s="4">
        <f t="shared" si="11"/>
        <v>88.457</v>
      </c>
      <c r="T71" s="4">
        <f t="shared" si="11"/>
        <v>949.3349999999999</v>
      </c>
    </row>
    <row r="72" spans="17:20" ht="12.75">
      <c r="Q72">
        <v>2008</v>
      </c>
      <c r="R72" s="4">
        <f t="shared" si="11"/>
        <v>1160.9520000000007</v>
      </c>
      <c r="S72" s="4">
        <f t="shared" si="11"/>
        <v>89.98799999999997</v>
      </c>
      <c r="T72" s="4">
        <f t="shared" si="11"/>
        <v>1070.9640000000006</v>
      </c>
    </row>
    <row r="73" spans="17:20" ht="12.75">
      <c r="Q73">
        <v>2009</v>
      </c>
      <c r="R73" s="4">
        <f t="shared" si="11"/>
        <v>1262.9800000000002</v>
      </c>
      <c r="S73" s="4">
        <f t="shared" si="11"/>
        <v>94.338</v>
      </c>
      <c r="T73" s="4">
        <f t="shared" si="11"/>
        <v>1168.6420000000003</v>
      </c>
    </row>
    <row r="74" spans="17:20" ht="12.75">
      <c r="Q74">
        <v>2010</v>
      </c>
      <c r="R74" s="4">
        <f t="shared" si="11"/>
        <v>1303.3909999999996</v>
      </c>
      <c r="S74" s="4">
        <f t="shared" si="11"/>
        <v>92.80700000000002</v>
      </c>
      <c r="T74" s="4">
        <f t="shared" si="11"/>
        <v>1210.5839999999996</v>
      </c>
    </row>
    <row r="75" spans="17:20" ht="12.75">
      <c r="Q75">
        <v>2011</v>
      </c>
      <c r="R75" s="4">
        <f t="shared" si="11"/>
        <v>1377.087</v>
      </c>
      <c r="S75" s="4">
        <f t="shared" si="11"/>
        <v>93.893</v>
      </c>
      <c r="T75" s="4">
        <f t="shared" si="11"/>
        <v>1283.194</v>
      </c>
    </row>
    <row r="76" spans="17:20" ht="12.75">
      <c r="Q76">
        <v>2012</v>
      </c>
      <c r="R76" s="4">
        <f t="shared" si="11"/>
        <v>1431.9260000000006</v>
      </c>
      <c r="S76" s="4">
        <f t="shared" si="11"/>
        <v>103.14399999999998</v>
      </c>
      <c r="T76" s="4">
        <f t="shared" si="11"/>
        <v>1328.7820000000006</v>
      </c>
    </row>
    <row r="77" spans="17:20" ht="12.75">
      <c r="Q77">
        <v>2013</v>
      </c>
      <c r="R77" s="4">
        <f t="shared" si="11"/>
        <v>1416.088</v>
      </c>
      <c r="S77" s="4">
        <f t="shared" si="11"/>
        <v>105.63500000000002</v>
      </c>
      <c r="T77" s="4">
        <f t="shared" si="11"/>
        <v>1310.453</v>
      </c>
    </row>
    <row r="78" spans="17:20" ht="12.75">
      <c r="Q78">
        <v>2014</v>
      </c>
      <c r="R78" s="4">
        <f>M28</f>
        <v>1463.3709999999996</v>
      </c>
      <c r="S78" s="4">
        <f>N28</f>
        <v>103.596</v>
      </c>
      <c r="T78" s="4">
        <f>O28</f>
        <v>1359.7749999999996</v>
      </c>
    </row>
  </sheetData>
  <sheetProtection/>
  <printOptions horizontalCentered="1" verticalCentered="1"/>
  <pageMargins left="0.5118110236220472" right="0.3937007874015748" top="0.7874015748031497" bottom="0.7086614173228347" header="0" footer="0"/>
  <pageSetup fitToHeight="1" fitToWidth="1" horizontalDpi="600" verticalDpi="600" orientation="portrait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35"/>
  <sheetViews>
    <sheetView view="pageBreakPreview" zoomScale="115" zoomScaleSheetLayoutView="115" zoomScalePageLayoutView="0" workbookViewId="0" topLeftCell="A25">
      <selection activeCell="F32" sqref="F32"/>
    </sheetView>
  </sheetViews>
  <sheetFormatPr defaultColWidth="11.421875" defaultRowHeight="12.75"/>
  <cols>
    <col min="1" max="1" width="22.7109375" style="0" customWidth="1"/>
    <col min="2" max="6" width="12.7109375" style="0" customWidth="1"/>
    <col min="7" max="14" width="10.7109375" style="0" customWidth="1"/>
    <col min="15" max="15" width="11.8515625" style="0" customWidth="1"/>
    <col min="16" max="16" width="13.140625" style="0" customWidth="1"/>
    <col min="17" max="17" width="16.8515625" style="0" customWidth="1"/>
    <col min="21" max="21" width="12.57421875" style="0" bestFit="1" customWidth="1"/>
  </cols>
  <sheetData>
    <row r="1" spans="1:2" ht="15.75">
      <c r="A1" s="13"/>
      <c r="B1" s="13"/>
    </row>
    <row r="2" spans="1:23" ht="15.75">
      <c r="A2" s="248" t="s">
        <v>255</v>
      </c>
      <c r="B2" s="2"/>
      <c r="C2" s="2"/>
      <c r="D2" s="2"/>
      <c r="E2" s="2"/>
      <c r="F2" s="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5">
      <c r="A3" s="15"/>
      <c r="B3" s="15"/>
      <c r="C3" s="15"/>
      <c r="D3" s="15"/>
      <c r="E3" s="15"/>
      <c r="F3" s="1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6"/>
      <c r="W3" s="16"/>
    </row>
    <row r="4" spans="9:23" ht="13.5" thickBot="1"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6"/>
      <c r="W4" s="16"/>
    </row>
    <row r="5" spans="1:23" ht="16.5" customHeight="1" thickBot="1">
      <c r="A5" s="1182"/>
      <c r="B5" s="1255" t="s">
        <v>51</v>
      </c>
      <c r="C5" s="1256"/>
      <c r="D5" s="1256"/>
      <c r="E5" s="1256"/>
      <c r="F5" s="125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6"/>
      <c r="W5" s="16"/>
    </row>
    <row r="6" spans="1:23" ht="12.75" customHeight="1">
      <c r="A6" s="1183" t="s">
        <v>18</v>
      </c>
      <c r="B6" s="1258" t="s">
        <v>40</v>
      </c>
      <c r="C6" s="1260" t="s">
        <v>41</v>
      </c>
      <c r="D6" s="1260" t="s">
        <v>42</v>
      </c>
      <c r="E6" s="1262" t="s">
        <v>43</v>
      </c>
      <c r="F6" s="1264" t="s">
        <v>0</v>
      </c>
      <c r="G6" s="1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6"/>
      <c r="W6" s="16"/>
    </row>
    <row r="7" spans="1:23" ht="15.75" customHeight="1" thickBot="1">
      <c r="A7" s="1184"/>
      <c r="B7" s="1259"/>
      <c r="C7" s="1261"/>
      <c r="D7" s="1261"/>
      <c r="E7" s="1263"/>
      <c r="F7" s="1265"/>
      <c r="G7" s="1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6"/>
      <c r="W7" s="16"/>
    </row>
    <row r="8" spans="1:12" ht="12.75">
      <c r="A8" s="45">
        <v>1995</v>
      </c>
      <c r="B8" s="49">
        <v>229035.54403785348</v>
      </c>
      <c r="C8" s="29">
        <v>200811.42160772084</v>
      </c>
      <c r="D8" s="29">
        <v>355896.20422925544</v>
      </c>
      <c r="E8" s="29">
        <v>40932.83181491251</v>
      </c>
      <c r="F8" s="51">
        <f aca="true" t="shared" si="0" ref="F8:F20">B8+C8+D8+E8</f>
        <v>826676.0016897422</v>
      </c>
      <c r="G8" s="17"/>
      <c r="I8" s="67"/>
      <c r="J8" s="67"/>
      <c r="K8" s="67"/>
      <c r="L8" s="67"/>
    </row>
    <row r="9" spans="1:12" ht="13.5" thickBot="1">
      <c r="A9" s="45">
        <v>1996</v>
      </c>
      <c r="B9" s="49">
        <v>258447.72612741796</v>
      </c>
      <c r="C9" s="29">
        <v>213222.6714817289</v>
      </c>
      <c r="D9" s="29">
        <v>372677.7759955188</v>
      </c>
      <c r="E9" s="29">
        <v>49022.22153615176</v>
      </c>
      <c r="F9" s="51">
        <f t="shared" si="0"/>
        <v>893370.3951408174</v>
      </c>
      <c r="G9" s="17"/>
      <c r="I9" s="67"/>
      <c r="J9" s="67"/>
      <c r="K9" s="67"/>
      <c r="L9" s="67"/>
    </row>
    <row r="10" spans="1:17" ht="12.75" customHeight="1">
      <c r="A10" s="45">
        <v>1997</v>
      </c>
      <c r="B10" s="49">
        <v>355516.10470524785</v>
      </c>
      <c r="C10" s="29">
        <v>221239.00181128312</v>
      </c>
      <c r="D10" s="29">
        <v>392117.28436542355</v>
      </c>
      <c r="E10" s="29">
        <v>50665.14573498242</v>
      </c>
      <c r="F10" s="51">
        <f t="shared" si="0"/>
        <v>1019537.5366169369</v>
      </c>
      <c r="G10" s="17"/>
      <c r="I10" s="67"/>
      <c r="J10" s="67"/>
      <c r="K10" s="67"/>
      <c r="L10" s="67"/>
      <c r="M10" s="1121"/>
      <c r="N10" s="1122" t="s">
        <v>40</v>
      </c>
      <c r="O10" s="1122" t="s">
        <v>41</v>
      </c>
      <c r="P10" s="1122" t="s">
        <v>42</v>
      </c>
      <c r="Q10" s="1123" t="s">
        <v>310</v>
      </c>
    </row>
    <row r="11" spans="1:17" ht="12.75">
      <c r="A11" s="45">
        <v>1998</v>
      </c>
      <c r="B11" s="49">
        <v>405108.5881039902</v>
      </c>
      <c r="C11" s="29">
        <v>175416.57536486135</v>
      </c>
      <c r="D11" s="29">
        <v>362781.2183589289</v>
      </c>
      <c r="E11" s="29">
        <v>44838.588717470884</v>
      </c>
      <c r="F11" s="51">
        <f t="shared" si="0"/>
        <v>988144.9705452513</v>
      </c>
      <c r="G11" s="17"/>
      <c r="I11" s="67"/>
      <c r="J11" s="67"/>
      <c r="K11" s="67"/>
      <c r="L11" s="67"/>
      <c r="M11" s="45">
        <v>1995</v>
      </c>
      <c r="N11" s="49">
        <v>229035.54403785348</v>
      </c>
      <c r="O11" s="29">
        <v>200811.42160772084</v>
      </c>
      <c r="P11" s="29">
        <v>355896.20422925544</v>
      </c>
      <c r="Q11" s="1124">
        <v>40932.83181491251</v>
      </c>
    </row>
    <row r="12" spans="1:17" ht="12.75">
      <c r="A12" s="45">
        <v>1999</v>
      </c>
      <c r="B12" s="49">
        <v>419536.4476394161</v>
      </c>
      <c r="C12" s="29">
        <v>170042.7141646184</v>
      </c>
      <c r="D12" s="29">
        <v>358196.5456484213</v>
      </c>
      <c r="E12" s="29">
        <v>44183.660814274546</v>
      </c>
      <c r="F12" s="51">
        <f t="shared" si="0"/>
        <v>991959.3682667303</v>
      </c>
      <c r="G12" s="17"/>
      <c r="I12" s="67"/>
      <c r="J12" s="67"/>
      <c r="K12" s="67"/>
      <c r="L12" s="67"/>
      <c r="M12" s="45">
        <v>1996</v>
      </c>
      <c r="N12" s="49">
        <v>258447.72612741796</v>
      </c>
      <c r="O12" s="29">
        <v>213222.6714817289</v>
      </c>
      <c r="P12" s="29">
        <v>372677.7759955188</v>
      </c>
      <c r="Q12" s="1124">
        <v>49022.22153615176</v>
      </c>
    </row>
    <row r="13" spans="1:17" ht="12.75">
      <c r="A13" s="45">
        <v>2000</v>
      </c>
      <c r="B13" s="49">
        <v>470947.3194047269</v>
      </c>
      <c r="C13" s="29">
        <v>197172.92008066195</v>
      </c>
      <c r="D13" s="29">
        <v>396689.5818287808</v>
      </c>
      <c r="E13" s="29">
        <v>48259.678954052164</v>
      </c>
      <c r="F13" s="51">
        <f t="shared" si="0"/>
        <v>1113069.5002682218</v>
      </c>
      <c r="G13" s="17"/>
      <c r="I13" s="67"/>
      <c r="J13" s="67"/>
      <c r="K13" s="67"/>
      <c r="L13" s="67"/>
      <c r="M13" s="45">
        <v>1997</v>
      </c>
      <c r="N13" s="49">
        <v>355516.10470524785</v>
      </c>
      <c r="O13" s="29">
        <v>221239.00181128312</v>
      </c>
      <c r="P13" s="29">
        <v>392117.28436542355</v>
      </c>
      <c r="Q13" s="1124">
        <v>50665.14573498242</v>
      </c>
    </row>
    <row r="14" spans="1:17" ht="12.75">
      <c r="A14" s="45">
        <v>2001</v>
      </c>
      <c r="B14" s="49">
        <v>479868.2340975174</v>
      </c>
      <c r="C14" s="29">
        <v>202560.16293720153</v>
      </c>
      <c r="D14" s="29">
        <v>406024.2542681364</v>
      </c>
      <c r="E14" s="29">
        <v>50905.86253569314</v>
      </c>
      <c r="F14" s="51">
        <f t="shared" si="0"/>
        <v>1139358.5138385484</v>
      </c>
      <c r="G14" s="17"/>
      <c r="I14" s="67"/>
      <c r="J14" s="67"/>
      <c r="K14" s="67"/>
      <c r="L14" s="67"/>
      <c r="M14" s="45">
        <v>1998</v>
      </c>
      <c r="N14" s="49">
        <v>405108.5881039902</v>
      </c>
      <c r="O14" s="29">
        <v>175416.57536486135</v>
      </c>
      <c r="P14" s="29">
        <v>362781.2183589289</v>
      </c>
      <c r="Q14" s="1124">
        <v>44838.588717470884</v>
      </c>
    </row>
    <row r="15" spans="1:17" ht="12.75">
      <c r="A15" s="45">
        <v>2002</v>
      </c>
      <c r="B15" s="49">
        <v>488098.27845652425</v>
      </c>
      <c r="C15" s="29">
        <v>223817.5306764326</v>
      </c>
      <c r="D15" s="29">
        <v>400798.0547307923</v>
      </c>
      <c r="E15" s="29">
        <v>44353.29640398425</v>
      </c>
      <c r="F15" s="51">
        <f t="shared" si="0"/>
        <v>1157067.1602677335</v>
      </c>
      <c r="G15" s="17"/>
      <c r="I15" s="67"/>
      <c r="J15" s="67"/>
      <c r="K15" s="67"/>
      <c r="L15" s="67"/>
      <c r="M15" s="45">
        <v>1999</v>
      </c>
      <c r="N15" s="49">
        <v>419536.4476394161</v>
      </c>
      <c r="O15" s="29">
        <v>170042.7141646184</v>
      </c>
      <c r="P15" s="29">
        <v>358196.5456484213</v>
      </c>
      <c r="Q15" s="1124">
        <v>44183.660814274546</v>
      </c>
    </row>
    <row r="16" spans="1:17" ht="12.75">
      <c r="A16" s="45">
        <v>2003</v>
      </c>
      <c r="B16" s="49">
        <v>506532.8631156623</v>
      </c>
      <c r="C16" s="29">
        <v>238398.63946284784</v>
      </c>
      <c r="D16" s="29">
        <v>427974.9681613485</v>
      </c>
      <c r="E16" s="29">
        <v>44303.67292973665</v>
      </c>
      <c r="F16" s="51">
        <f t="shared" si="0"/>
        <v>1217210.1436695952</v>
      </c>
      <c r="G16" s="17"/>
      <c r="I16" s="67"/>
      <c r="J16" s="67"/>
      <c r="K16" s="67"/>
      <c r="L16" s="67"/>
      <c r="M16" s="45">
        <v>2000</v>
      </c>
      <c r="N16" s="49">
        <v>470947.3194047269</v>
      </c>
      <c r="O16" s="29">
        <v>197172.92008066195</v>
      </c>
      <c r="P16" s="29">
        <v>396689.5818287808</v>
      </c>
      <c r="Q16" s="1124">
        <v>48259.678954052164</v>
      </c>
    </row>
    <row r="17" spans="1:17" ht="12.75">
      <c r="A17" s="45">
        <v>2004</v>
      </c>
      <c r="B17" s="49">
        <v>596267.0443261712</v>
      </c>
      <c r="C17" s="29">
        <v>257743.9102776775</v>
      </c>
      <c r="D17" s="29">
        <v>470011.6333799953</v>
      </c>
      <c r="E17" s="29">
        <v>58277.423826264436</v>
      </c>
      <c r="F17" s="51">
        <f t="shared" si="0"/>
        <v>1382300.0118101083</v>
      </c>
      <c r="G17" s="17"/>
      <c r="I17" s="67"/>
      <c r="J17" s="67"/>
      <c r="K17" s="67"/>
      <c r="L17" s="67"/>
      <c r="M17" s="45">
        <v>2001</v>
      </c>
      <c r="N17" s="49">
        <v>479868.2340975174</v>
      </c>
      <c r="O17" s="29">
        <v>202560.16293720153</v>
      </c>
      <c r="P17" s="29">
        <v>406024.2542681364</v>
      </c>
      <c r="Q17" s="1124">
        <v>50905.86253569314</v>
      </c>
    </row>
    <row r="18" spans="1:17" ht="12.75">
      <c r="A18" s="45">
        <v>2005</v>
      </c>
      <c r="B18" s="49">
        <v>669716.05900216</v>
      </c>
      <c r="C18" s="29">
        <v>300420.25850854366</v>
      </c>
      <c r="D18" s="29">
        <v>544065.3677454039</v>
      </c>
      <c r="E18" s="29">
        <v>65007.58584027138</v>
      </c>
      <c r="F18" s="51">
        <f t="shared" si="0"/>
        <v>1579209.2710963788</v>
      </c>
      <c r="G18" s="17"/>
      <c r="I18" s="67"/>
      <c r="J18" s="67"/>
      <c r="K18" s="67"/>
      <c r="L18" s="67"/>
      <c r="M18" s="45">
        <v>2002</v>
      </c>
      <c r="N18" s="49">
        <v>488098.27845652425</v>
      </c>
      <c r="O18" s="29">
        <v>223817.5306764326</v>
      </c>
      <c r="P18" s="29">
        <v>400798.0547307923</v>
      </c>
      <c r="Q18" s="1124">
        <v>44353.29640398425</v>
      </c>
    </row>
    <row r="19" spans="1:17" ht="12.75">
      <c r="A19" s="69">
        <v>2006</v>
      </c>
      <c r="B19" s="49">
        <v>715993.8422671348</v>
      </c>
      <c r="C19" s="29">
        <v>317868.59748703917</v>
      </c>
      <c r="D19" s="29">
        <v>579597.9869781262</v>
      </c>
      <c r="E19" s="29">
        <v>69708.47757360786</v>
      </c>
      <c r="F19" s="51">
        <f t="shared" si="0"/>
        <v>1683168.9043059081</v>
      </c>
      <c r="G19" s="17"/>
      <c r="I19" s="67"/>
      <c r="J19" s="67"/>
      <c r="K19" s="67"/>
      <c r="L19" s="67"/>
      <c r="M19" s="45">
        <v>2003</v>
      </c>
      <c r="N19" s="49">
        <v>506532.8631156623</v>
      </c>
      <c r="O19" s="29">
        <v>238398.63946284784</v>
      </c>
      <c r="P19" s="29">
        <v>427974.9681613485</v>
      </c>
      <c r="Q19" s="1124">
        <v>44303.67292973665</v>
      </c>
    </row>
    <row r="20" spans="1:17" ht="12.75">
      <c r="A20" s="69">
        <v>2007</v>
      </c>
      <c r="B20" s="49">
        <v>794759.591697835</v>
      </c>
      <c r="C20" s="29">
        <v>340153.5027192707</v>
      </c>
      <c r="D20" s="29">
        <v>628258.8982124339</v>
      </c>
      <c r="E20" s="29">
        <v>67459.67080470189</v>
      </c>
      <c r="F20" s="51">
        <f t="shared" si="0"/>
        <v>1830631.6634342417</v>
      </c>
      <c r="G20" s="17"/>
      <c r="I20" s="67"/>
      <c r="J20" s="67"/>
      <c r="K20" s="67"/>
      <c r="L20" s="67"/>
      <c r="M20" s="45">
        <v>2004</v>
      </c>
      <c r="N20" s="49">
        <v>596267.0443261712</v>
      </c>
      <c r="O20" s="29">
        <v>257743.9102776775</v>
      </c>
      <c r="P20" s="29">
        <v>470011.6333799953</v>
      </c>
      <c r="Q20" s="1124">
        <v>58277.423826264436</v>
      </c>
    </row>
    <row r="21" spans="1:17" ht="12.75">
      <c r="A21" s="69">
        <v>2008</v>
      </c>
      <c r="B21" s="49">
        <v>1027831.8916520025</v>
      </c>
      <c r="C21" s="29">
        <v>399555.0703387963</v>
      </c>
      <c r="D21" s="29">
        <v>716691.0101019627</v>
      </c>
      <c r="E21" s="29">
        <v>72022.00109060491</v>
      </c>
      <c r="F21" s="51">
        <f aca="true" t="shared" si="1" ref="F21:F26">B21+C21+D21+E21</f>
        <v>2216099.9731833665</v>
      </c>
      <c r="G21" s="17"/>
      <c r="I21" s="67"/>
      <c r="J21" s="67"/>
      <c r="K21" s="67"/>
      <c r="L21" s="67"/>
      <c r="M21" s="45">
        <v>2005</v>
      </c>
      <c r="N21" s="49">
        <v>669716.05900216</v>
      </c>
      <c r="O21" s="29">
        <v>300420.25850854366</v>
      </c>
      <c r="P21" s="29">
        <v>544065.3677454039</v>
      </c>
      <c r="Q21" s="1124">
        <v>65007.58584027138</v>
      </c>
    </row>
    <row r="22" spans="1:17" ht="12.75">
      <c r="A22" s="69">
        <v>2009</v>
      </c>
      <c r="B22" s="49">
        <v>910151.8288537087</v>
      </c>
      <c r="C22" s="29">
        <v>454550.7666593908</v>
      </c>
      <c r="D22" s="29">
        <v>792475.9295777844</v>
      </c>
      <c r="E22" s="29">
        <v>78879.62873892274</v>
      </c>
      <c r="F22" s="51">
        <f t="shared" si="1"/>
        <v>2236058.1538298065</v>
      </c>
      <c r="G22" s="17"/>
      <c r="I22" s="68"/>
      <c r="J22" s="68"/>
      <c r="K22" s="68"/>
      <c r="L22" s="68"/>
      <c r="M22" s="69">
        <v>2006</v>
      </c>
      <c r="N22" s="49">
        <v>715993.8422671348</v>
      </c>
      <c r="O22" s="29">
        <v>317868.59748703917</v>
      </c>
      <c r="P22" s="29">
        <v>579597.9869781262</v>
      </c>
      <c r="Q22" s="1124">
        <v>69708.47757360786</v>
      </c>
    </row>
    <row r="23" spans="1:17" ht="12.75">
      <c r="A23" s="69">
        <v>2010</v>
      </c>
      <c r="B23" s="49">
        <v>971594.0860168211</v>
      </c>
      <c r="C23" s="29">
        <v>526340.0543340939</v>
      </c>
      <c r="D23" s="29">
        <v>864962.4236910528</v>
      </c>
      <c r="E23" s="29">
        <v>85638.46416099064</v>
      </c>
      <c r="F23" s="51">
        <f t="shared" si="1"/>
        <v>2448535.0282029584</v>
      </c>
      <c r="G23" s="17"/>
      <c r="I23" s="68"/>
      <c r="J23" s="68"/>
      <c r="K23" s="68"/>
      <c r="L23" s="68"/>
      <c r="M23" s="69">
        <v>2007</v>
      </c>
      <c r="N23" s="49">
        <v>794759.591697835</v>
      </c>
      <c r="O23" s="29">
        <v>340153.5027192707</v>
      </c>
      <c r="P23" s="29">
        <v>628258.8982124339</v>
      </c>
      <c r="Q23" s="1124">
        <v>67459.67080470189</v>
      </c>
    </row>
    <row r="24" spans="1:17" ht="12.75">
      <c r="A24" s="69">
        <v>2011</v>
      </c>
      <c r="B24" s="49">
        <v>1196612.7704490384</v>
      </c>
      <c r="C24" s="29">
        <v>568041.6832032925</v>
      </c>
      <c r="D24" s="29">
        <v>999500.053600992</v>
      </c>
      <c r="E24" s="29">
        <v>96237.04810547354</v>
      </c>
      <c r="F24" s="51">
        <f t="shared" si="1"/>
        <v>2860391.5553587964</v>
      </c>
      <c r="G24" s="17"/>
      <c r="I24" s="68"/>
      <c r="J24" s="68"/>
      <c r="K24" s="68"/>
      <c r="L24" s="68"/>
      <c r="M24" s="69">
        <v>2008</v>
      </c>
      <c r="N24" s="49">
        <v>1027831.8916520025</v>
      </c>
      <c r="O24" s="29">
        <v>399555.0703387963</v>
      </c>
      <c r="P24" s="29">
        <v>716691.0101019627</v>
      </c>
      <c r="Q24" s="1124">
        <v>72022.00109060491</v>
      </c>
    </row>
    <row r="25" spans="1:17" ht="12.75">
      <c r="A25" s="69">
        <v>2012</v>
      </c>
      <c r="B25" s="49">
        <v>1379656.1115939592</v>
      </c>
      <c r="C25" s="29">
        <v>665764.9390363934</v>
      </c>
      <c r="D25" s="29">
        <v>1143905.3448795595</v>
      </c>
      <c r="E25" s="29">
        <v>109799.10381710083</v>
      </c>
      <c r="F25" s="51">
        <f t="shared" si="1"/>
        <v>3299125.4993270123</v>
      </c>
      <c r="G25" s="17"/>
      <c r="I25" s="68"/>
      <c r="J25" s="68"/>
      <c r="K25" s="68"/>
      <c r="L25" s="68"/>
      <c r="M25" s="69">
        <v>2009</v>
      </c>
      <c r="N25" s="49">
        <v>910151.8288537087</v>
      </c>
      <c r="O25" s="29">
        <v>454550.7666593908</v>
      </c>
      <c r="P25" s="29">
        <v>792475.9295777844</v>
      </c>
      <c r="Q25" s="1124">
        <v>78879.62873892274</v>
      </c>
    </row>
    <row r="26" spans="1:17" ht="12.75">
      <c r="A26" s="69">
        <v>2013</v>
      </c>
      <c r="B26" s="49">
        <v>1441539.8024168243</v>
      </c>
      <c r="C26" s="29">
        <v>737391.5122042883</v>
      </c>
      <c r="D26" s="29">
        <v>1241000.8431573522</v>
      </c>
      <c r="E26" s="29">
        <v>116294.17167812247</v>
      </c>
      <c r="F26" s="51">
        <f t="shared" si="1"/>
        <v>3536226.329456587</v>
      </c>
      <c r="G26" s="17"/>
      <c r="I26" s="68"/>
      <c r="J26" s="68"/>
      <c r="K26" s="68"/>
      <c r="L26" s="68"/>
      <c r="M26" s="69">
        <v>2010</v>
      </c>
      <c r="N26" s="49">
        <v>971594.0860168211</v>
      </c>
      <c r="O26" s="29">
        <v>526340.0543340939</v>
      </c>
      <c r="P26" s="29">
        <v>864962.4236910528</v>
      </c>
      <c r="Q26" s="1124">
        <v>85638.46416099064</v>
      </c>
    </row>
    <row r="27" spans="1:17" ht="12.75">
      <c r="A27" s="69">
        <v>2014</v>
      </c>
      <c r="B27" s="49">
        <v>1665455.8266893341</v>
      </c>
      <c r="C27" s="29">
        <v>836842.3077473742</v>
      </c>
      <c r="D27" s="29">
        <v>1407774.9448299771</v>
      </c>
      <c r="E27" s="29">
        <v>115116.20663604917</v>
      </c>
      <c r="F27" s="51">
        <f>B27+C27+D27+E27</f>
        <v>4025189.285902735</v>
      </c>
      <c r="G27" s="17"/>
      <c r="I27" s="68"/>
      <c r="J27" s="68"/>
      <c r="K27" s="68"/>
      <c r="L27" s="68"/>
      <c r="M27" s="69">
        <v>2011</v>
      </c>
      <c r="N27" s="49">
        <v>1196612.7704490384</v>
      </c>
      <c r="O27" s="29">
        <v>568041.6832032925</v>
      </c>
      <c r="P27" s="29">
        <v>999500.053600992</v>
      </c>
      <c r="Q27" s="1124">
        <v>96237.04810547354</v>
      </c>
    </row>
    <row r="28" spans="1:17" ht="13.5" thickBot="1">
      <c r="A28" s="69"/>
      <c r="B28" s="49"/>
      <c r="C28" s="29"/>
      <c r="D28" s="29"/>
      <c r="E28" s="29"/>
      <c r="F28" s="51"/>
      <c r="G28" s="17"/>
      <c r="M28" s="69">
        <v>2012</v>
      </c>
      <c r="N28" s="49">
        <v>1379656.1115939592</v>
      </c>
      <c r="O28" s="29">
        <v>665764.9390363934</v>
      </c>
      <c r="P28" s="29">
        <v>1143905.3448795595</v>
      </c>
      <c r="Q28" s="1124">
        <v>109799.10381710083</v>
      </c>
    </row>
    <row r="29" spans="1:17" ht="12.75">
      <c r="A29" s="111" t="s">
        <v>273</v>
      </c>
      <c r="B29" s="105">
        <f>(B27/B26)-1</f>
        <v>0.15533114236395118</v>
      </c>
      <c r="C29" s="105">
        <f>(C27/C26)-1</f>
        <v>0.13486837575034882</v>
      </c>
      <c r="D29" s="105">
        <f>(D27/D26)-1</f>
        <v>0.13438677547415567</v>
      </c>
      <c r="E29" s="105">
        <f>(E27/E26)-1</f>
        <v>-0.01012918381957828</v>
      </c>
      <c r="F29" s="106">
        <f>(F27/F26)-1</f>
        <v>0.13827252864815565</v>
      </c>
      <c r="G29" s="17"/>
      <c r="M29" s="69">
        <v>2013</v>
      </c>
      <c r="N29" s="49">
        <v>1441539.8024168243</v>
      </c>
      <c r="O29" s="29">
        <v>737391.5122042883</v>
      </c>
      <c r="P29" s="29">
        <v>1241000.8431573522</v>
      </c>
      <c r="Q29" s="1124">
        <v>116294.17167812247</v>
      </c>
    </row>
    <row r="30" spans="1:17" ht="13.5" thickBot="1">
      <c r="A30" s="54" t="s">
        <v>274</v>
      </c>
      <c r="B30" s="107">
        <f>+(B27/B22)^(1/5)-1</f>
        <v>0.12845398474020042</v>
      </c>
      <c r="C30" s="107">
        <f>+(C27/C22)^(1/5)-1</f>
        <v>0.12982777449922223</v>
      </c>
      <c r="D30" s="107">
        <f>+(D27/D22)^(1/5)-1</f>
        <v>0.12178448800142339</v>
      </c>
      <c r="E30" s="107">
        <f>+(E27/E22)^(1/5)-1</f>
        <v>0.07853519694398825</v>
      </c>
      <c r="F30" s="1130">
        <f>+(F27/F22)^(1/5)-1</f>
        <v>0.12476201929881081</v>
      </c>
      <c r="G30" s="1129"/>
      <c r="M30" s="1125">
        <v>2014</v>
      </c>
      <c r="N30" s="1126">
        <v>1665455.8266893341</v>
      </c>
      <c r="O30" s="1127">
        <v>836842.3077473742</v>
      </c>
      <c r="P30" s="1127">
        <v>1407774.9448299771</v>
      </c>
      <c r="Q30" s="1128">
        <v>115116.20663604917</v>
      </c>
    </row>
    <row r="31" spans="1:7" ht="12.75">
      <c r="A31" s="32" t="s">
        <v>275</v>
      </c>
      <c r="B31" s="107">
        <f>+B27/B17-1</f>
        <v>1.7931374751248086</v>
      </c>
      <c r="C31" s="107">
        <f>+C27/C17-1</f>
        <v>2.246797593959879</v>
      </c>
      <c r="D31" s="107">
        <f>+D27/D17-1</f>
        <v>1.9951917034611317</v>
      </c>
      <c r="E31" s="107">
        <f>+E27/E17-1</f>
        <v>0.9753139222356748</v>
      </c>
      <c r="F31" s="1130">
        <f>+F27/F17-1</f>
        <v>1.9119505545194846</v>
      </c>
      <c r="G31" s="17"/>
    </row>
    <row r="32" spans="1:7" ht="13.5" thickBot="1">
      <c r="A32" s="34" t="s">
        <v>276</v>
      </c>
      <c r="B32" s="246">
        <f>+(B27/B17)^(1/10)-1</f>
        <v>0.10817725249496024</v>
      </c>
      <c r="C32" s="246">
        <f>+(C27/C17)^(1/10)-1</f>
        <v>0.12498186495391783</v>
      </c>
      <c r="D32" s="246">
        <f>+(D27/D17)^(1/10)-1</f>
        <v>0.11594415650737644</v>
      </c>
      <c r="E32" s="246">
        <f>+(E27/E17)^(1/10)-1</f>
        <v>0.07044316258494199</v>
      </c>
      <c r="F32" s="1131">
        <f>+(F27/F17)^(1/10)-1</f>
        <v>0.11280328655007521</v>
      </c>
      <c r="G32" s="17"/>
    </row>
    <row r="33" spans="1:7" ht="12.75">
      <c r="A33" s="57"/>
      <c r="B33" s="6"/>
      <c r="C33" s="6"/>
      <c r="D33" s="6"/>
      <c r="E33" s="6"/>
      <c r="F33" s="6"/>
      <c r="G33" s="17"/>
    </row>
    <row r="34" spans="2:7" ht="15.75">
      <c r="B34" s="16"/>
      <c r="C34" s="16"/>
      <c r="D34" s="16"/>
      <c r="E34" s="13"/>
      <c r="F34" s="14"/>
      <c r="G34" s="17"/>
    </row>
    <row r="35" ht="12.75">
      <c r="G35" s="18"/>
    </row>
  </sheetData>
  <sheetProtection/>
  <mergeCells count="6">
    <mergeCell ref="B5:F5"/>
    <mergeCell ref="B6:B7"/>
    <mergeCell ref="C6:C7"/>
    <mergeCell ref="D6:D7"/>
    <mergeCell ref="E6:E7"/>
    <mergeCell ref="F6:F7"/>
  </mergeCells>
  <printOptions/>
  <pageMargins left="0.9" right="0.21" top="0.94" bottom="1" header="0" footer="0"/>
  <pageSetup fitToHeight="1" fitToWidth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W38"/>
  <sheetViews>
    <sheetView view="pageBreakPreview" zoomScale="115" zoomScaleSheetLayoutView="115" zoomScalePageLayoutView="0" workbookViewId="0" topLeftCell="A16">
      <selection activeCell="B33" sqref="B33"/>
    </sheetView>
  </sheetViews>
  <sheetFormatPr defaultColWidth="11.421875" defaultRowHeight="12.75"/>
  <cols>
    <col min="1" max="1" width="18.57421875" style="0" customWidth="1"/>
    <col min="2" max="5" width="12.7109375" style="0" customWidth="1"/>
    <col min="6" max="6" width="15.28125" style="0" customWidth="1"/>
    <col min="7" max="9" width="10.7109375" style="0" customWidth="1"/>
    <col min="10" max="10" width="15.57421875" style="0" customWidth="1"/>
    <col min="11" max="11" width="10.7109375" style="0" customWidth="1"/>
    <col min="12" max="12" width="11.7109375" style="0" customWidth="1"/>
    <col min="13" max="13" width="10.7109375" style="0" customWidth="1"/>
    <col min="14" max="14" width="11.7109375" style="0" customWidth="1"/>
    <col min="15" max="17" width="10.7109375" style="0" customWidth="1"/>
    <col min="21" max="21" width="12.57421875" style="0" bestFit="1" customWidth="1"/>
  </cols>
  <sheetData>
    <row r="1" spans="1:2" ht="15.75">
      <c r="A1" s="13"/>
      <c r="B1" s="13"/>
    </row>
    <row r="2" spans="1:23" ht="15.75">
      <c r="A2" s="248" t="s">
        <v>256</v>
      </c>
      <c r="B2" s="70"/>
      <c r="C2" s="2"/>
      <c r="D2" s="2"/>
      <c r="E2" s="2"/>
      <c r="F2" s="2"/>
      <c r="I2" s="12"/>
      <c r="O2" s="5"/>
      <c r="P2" s="12"/>
      <c r="Q2" s="12"/>
      <c r="R2" s="12"/>
      <c r="S2" s="12"/>
      <c r="T2" s="12"/>
      <c r="U2" s="12"/>
      <c r="V2" s="12"/>
      <c r="W2" s="12"/>
    </row>
    <row r="3" spans="1:23" ht="15">
      <c r="A3" s="15"/>
      <c r="B3" s="15"/>
      <c r="C3" s="15"/>
      <c r="D3" s="15"/>
      <c r="E3" s="15"/>
      <c r="F3" s="15"/>
      <c r="I3" s="5"/>
      <c r="O3" s="5"/>
      <c r="P3" s="5"/>
      <c r="Q3" s="5"/>
      <c r="R3" s="5"/>
      <c r="S3" s="5"/>
      <c r="T3" s="5"/>
      <c r="U3" s="5"/>
      <c r="V3" s="56"/>
      <c r="W3" s="16"/>
    </row>
    <row r="4" spans="9:23" ht="13.5" thickBot="1">
      <c r="I4" s="5"/>
      <c r="O4" s="5"/>
      <c r="P4" s="5"/>
      <c r="Q4" s="5"/>
      <c r="R4" s="5"/>
      <c r="S4" s="5"/>
      <c r="T4" s="5"/>
      <c r="U4" s="5"/>
      <c r="V4" s="56"/>
      <c r="W4" s="16"/>
    </row>
    <row r="5" spans="1:23" ht="16.5" customHeight="1" thickBot="1">
      <c r="A5" s="1182"/>
      <c r="B5" s="1255" t="s">
        <v>61</v>
      </c>
      <c r="C5" s="1256"/>
      <c r="D5" s="1256"/>
      <c r="E5" s="1256"/>
      <c r="F5" s="1257"/>
      <c r="I5" s="5"/>
      <c r="P5" s="5"/>
      <c r="Q5" s="5"/>
      <c r="R5" s="5"/>
      <c r="S5" s="5"/>
      <c r="T5" s="5"/>
      <c r="U5" s="5"/>
      <c r="V5" s="56"/>
      <c r="W5" s="16"/>
    </row>
    <row r="6" spans="1:23" ht="12.75" customHeight="1">
      <c r="A6" s="1183" t="s">
        <v>18</v>
      </c>
      <c r="B6" s="1258" t="s">
        <v>40</v>
      </c>
      <c r="C6" s="1260" t="s">
        <v>41</v>
      </c>
      <c r="D6" s="1260" t="s">
        <v>42</v>
      </c>
      <c r="E6" s="1262" t="s">
        <v>43</v>
      </c>
      <c r="F6" s="1264" t="s">
        <v>63</v>
      </c>
      <c r="G6" s="17"/>
      <c r="I6" s="5"/>
      <c r="O6" s="5"/>
      <c r="P6" s="5"/>
      <c r="Q6" s="5"/>
      <c r="R6" s="5"/>
      <c r="S6" s="5"/>
      <c r="T6" s="5"/>
      <c r="U6" s="5"/>
      <c r="V6" s="56"/>
      <c r="W6" s="16"/>
    </row>
    <row r="7" spans="1:23" ht="15.75" customHeight="1" thickBot="1">
      <c r="A7" s="1184"/>
      <c r="B7" s="1259"/>
      <c r="C7" s="1261"/>
      <c r="D7" s="1261"/>
      <c r="E7" s="1263"/>
      <c r="F7" s="1265"/>
      <c r="G7" s="17"/>
      <c r="I7" s="5"/>
      <c r="O7" s="5"/>
      <c r="P7" s="5"/>
      <c r="Q7" s="5"/>
      <c r="R7" s="5"/>
      <c r="S7" s="5"/>
      <c r="T7" s="5"/>
      <c r="U7" s="5"/>
      <c r="V7" s="56"/>
      <c r="W7" s="16"/>
    </row>
    <row r="8" spans="1:15" ht="12.75">
      <c r="A8" s="249"/>
      <c r="B8" s="250"/>
      <c r="C8" s="251"/>
      <c r="D8" s="251"/>
      <c r="E8" s="251"/>
      <c r="F8" s="252"/>
      <c r="G8" s="17"/>
      <c r="O8" s="5"/>
    </row>
    <row r="9" spans="1:7" ht="12.75">
      <c r="A9" s="253">
        <v>1995</v>
      </c>
      <c r="B9" s="254">
        <v>5.7782302810253094</v>
      </c>
      <c r="C9" s="255">
        <v>8.930236767278458</v>
      </c>
      <c r="D9" s="255">
        <v>11.283446398970833</v>
      </c>
      <c r="E9" s="255">
        <v>8.480380509442004</v>
      </c>
      <c r="F9" s="256">
        <v>8.393283624979105</v>
      </c>
      <c r="G9" s="137"/>
    </row>
    <row r="10" spans="1:7" ht="12.75">
      <c r="A10" s="249">
        <v>1996</v>
      </c>
      <c r="B10" s="250">
        <v>6.003018190974908</v>
      </c>
      <c r="C10" s="251">
        <v>9.069490468416461</v>
      </c>
      <c r="D10" s="251">
        <v>11.700802658519068</v>
      </c>
      <c r="E10" s="251">
        <v>10.015867859658382</v>
      </c>
      <c r="F10" s="252">
        <v>8.647646690205814</v>
      </c>
      <c r="G10" s="17"/>
    </row>
    <row r="11" spans="1:7" ht="12.75">
      <c r="A11" s="253">
        <v>1997</v>
      </c>
      <c r="B11" s="254">
        <v>5.86841218488873</v>
      </c>
      <c r="C11" s="255">
        <v>8.920555677874598</v>
      </c>
      <c r="D11" s="255">
        <v>11.582177535507025</v>
      </c>
      <c r="E11" s="255">
        <v>9.605258607546249</v>
      </c>
      <c r="F11" s="256">
        <v>8.188247240008057</v>
      </c>
      <c r="G11" s="17"/>
    </row>
    <row r="12" spans="1:7" ht="12.75">
      <c r="A12" s="249">
        <v>1998</v>
      </c>
      <c r="B12" s="250">
        <v>5.42034791739235</v>
      </c>
      <c r="C12" s="251">
        <v>7.431544947493249</v>
      </c>
      <c r="D12" s="251">
        <v>9.96843399442005</v>
      </c>
      <c r="E12" s="251">
        <v>8.380024919859448</v>
      </c>
      <c r="F12" s="252">
        <v>7.0538222851775645</v>
      </c>
      <c r="G12" s="17"/>
    </row>
    <row r="13" spans="1:7" ht="12.75">
      <c r="A13" s="253">
        <v>1999</v>
      </c>
      <c r="B13" s="254">
        <v>5.340603488459393</v>
      </c>
      <c r="C13" s="255">
        <v>7.02568748356065</v>
      </c>
      <c r="D13" s="255">
        <v>9.494434904668308</v>
      </c>
      <c r="E13" s="255">
        <v>8.132461037046669</v>
      </c>
      <c r="F13" s="256">
        <v>6.798013749180917</v>
      </c>
      <c r="G13" s="17"/>
    </row>
    <row r="14" spans="1:7" ht="12.75">
      <c r="A14" s="249">
        <v>2000</v>
      </c>
      <c r="B14" s="250">
        <v>5.623240393552686</v>
      </c>
      <c r="C14" s="251">
        <v>7.32074284220981</v>
      </c>
      <c r="D14" s="251">
        <v>10.077877207303533</v>
      </c>
      <c r="E14" s="251">
        <v>8.920590888132166</v>
      </c>
      <c r="F14" s="252">
        <v>7.160031104190919</v>
      </c>
      <c r="G14" s="17"/>
    </row>
    <row r="15" spans="1:11" ht="12.75">
      <c r="A15" s="253">
        <v>2001</v>
      </c>
      <c r="B15" s="254">
        <v>5.170681855739894</v>
      </c>
      <c r="C15" s="255">
        <v>7.33328016400444</v>
      </c>
      <c r="D15" s="255">
        <v>10.040241931531753</v>
      </c>
      <c r="E15" s="255">
        <v>9.391850960397145</v>
      </c>
      <c r="F15" s="256">
        <v>6.851736911514183</v>
      </c>
      <c r="G15" s="17"/>
      <c r="K15" s="257"/>
    </row>
    <row r="16" spans="1:11" ht="12.75">
      <c r="A16" s="249">
        <v>2002</v>
      </c>
      <c r="B16" s="250">
        <v>5.101571642227621</v>
      </c>
      <c r="C16" s="251">
        <v>7.428110464437447</v>
      </c>
      <c r="D16" s="251">
        <v>8.97669069848606</v>
      </c>
      <c r="E16" s="251">
        <v>7.924064483903257</v>
      </c>
      <c r="F16" s="252">
        <v>6.572256424100436</v>
      </c>
      <c r="G16" s="17"/>
      <c r="K16" s="257"/>
    </row>
    <row r="17" spans="1:7" ht="12.75">
      <c r="A17" s="253">
        <v>2003</v>
      </c>
      <c r="B17" s="254">
        <v>5.045811028696983</v>
      </c>
      <c r="C17" s="255">
        <v>7.1353528490967735</v>
      </c>
      <c r="D17" s="255">
        <v>9.671012358653732</v>
      </c>
      <c r="E17" s="255">
        <v>7.7695003248875425</v>
      </c>
      <c r="F17" s="256">
        <v>6.624152034461948</v>
      </c>
      <c r="G17" s="17"/>
    </row>
    <row r="18" spans="1:7" ht="12.75">
      <c r="A18" s="249">
        <v>2004</v>
      </c>
      <c r="B18" s="250">
        <v>5.380562684656785</v>
      </c>
      <c r="C18" s="251">
        <v>7.7661883737661785</v>
      </c>
      <c r="D18" s="251">
        <v>9.957854254756237</v>
      </c>
      <c r="E18" s="251">
        <v>9.673280906557887</v>
      </c>
      <c r="F18" s="252">
        <v>7.0379541088956685</v>
      </c>
      <c r="G18" s="17"/>
    </row>
    <row r="19" spans="1:7" ht="12.75">
      <c r="A19" s="258">
        <v>2005</v>
      </c>
      <c r="B19" s="254">
        <v>5.771045156535736</v>
      </c>
      <c r="C19" s="255">
        <v>8.469438388136206</v>
      </c>
      <c r="D19" s="255">
        <v>10.83636761874177</v>
      </c>
      <c r="E19" s="255">
        <v>10.2855760316503</v>
      </c>
      <c r="F19" s="256">
        <v>7.628520665665924</v>
      </c>
      <c r="G19" s="17"/>
    </row>
    <row r="20" spans="1:7" ht="12.75">
      <c r="A20" s="259">
        <v>2006</v>
      </c>
      <c r="B20" s="250">
        <v>5.732124833700338</v>
      </c>
      <c r="C20" s="251">
        <v>8.19559620434823</v>
      </c>
      <c r="D20" s="251">
        <v>10.756475285056688</v>
      </c>
      <c r="E20" s="251">
        <v>10.825611995897283</v>
      </c>
      <c r="F20" s="252">
        <v>7.551208104601234</v>
      </c>
      <c r="G20" s="17"/>
    </row>
    <row r="21" spans="1:15" ht="12.75">
      <c r="A21" s="258">
        <v>2007</v>
      </c>
      <c r="B21" s="254">
        <v>5.597572426714631</v>
      </c>
      <c r="C21" s="255">
        <v>8.25688295854472</v>
      </c>
      <c r="D21" s="255">
        <v>10.68990130553876</v>
      </c>
      <c r="E21" s="255">
        <v>10.292187443523428</v>
      </c>
      <c r="F21" s="256">
        <v>7.404944110282578</v>
      </c>
      <c r="G21" s="17"/>
      <c r="O21" s="247"/>
    </row>
    <row r="22" spans="1:11" ht="12.75">
      <c r="A22" s="259">
        <v>2008</v>
      </c>
      <c r="B22" s="250">
        <v>6.658126506723528</v>
      </c>
      <c r="C22" s="251">
        <v>8.8890837350718</v>
      </c>
      <c r="D22" s="251">
        <v>11.273478337353472</v>
      </c>
      <c r="E22" s="251">
        <v>10.67078841366945</v>
      </c>
      <c r="F22" s="252">
        <v>8.218609624523832</v>
      </c>
      <c r="G22" s="17"/>
      <c r="K22" s="240"/>
    </row>
    <row r="23" spans="1:11" ht="12.75">
      <c r="A23" s="258">
        <v>2009</v>
      </c>
      <c r="B23" s="254">
        <v>6.090844286502383</v>
      </c>
      <c r="C23" s="255">
        <v>9.440147856287034</v>
      </c>
      <c r="D23" s="255">
        <v>11.926617410595755</v>
      </c>
      <c r="E23" s="255">
        <v>11.525785044073674</v>
      </c>
      <c r="F23" s="256">
        <v>8.255095348074532</v>
      </c>
      <c r="G23" s="17"/>
      <c r="J23" s="260"/>
      <c r="K23" s="261"/>
    </row>
    <row r="24" spans="1:14" ht="12.75">
      <c r="A24" s="259">
        <v>2010</v>
      </c>
      <c r="B24" s="250">
        <v>5.911842555797673</v>
      </c>
      <c r="C24" s="251">
        <v>10.110599528616511</v>
      </c>
      <c r="D24" s="251">
        <v>12.206216169236948</v>
      </c>
      <c r="E24" s="251">
        <v>12.072008153137142</v>
      </c>
      <c r="F24" s="252">
        <v>8.318115440910699</v>
      </c>
      <c r="G24" s="137"/>
      <c r="K24" s="240"/>
      <c r="L24" s="260"/>
      <c r="M24" s="260"/>
      <c r="N24" s="260"/>
    </row>
    <row r="25" spans="1:11" ht="12.75">
      <c r="A25" s="258">
        <v>2011</v>
      </c>
      <c r="B25" s="254">
        <v>6.706936836</v>
      </c>
      <c r="C25" s="255">
        <v>10.2108472</v>
      </c>
      <c r="D25" s="255">
        <v>13.043042</v>
      </c>
      <c r="E25" s="255">
        <v>12.7852389</v>
      </c>
      <c r="F25" s="256">
        <v>8.9891895</v>
      </c>
      <c r="G25" s="137"/>
      <c r="I25" s="262"/>
      <c r="J25" s="262"/>
      <c r="K25" s="261"/>
    </row>
    <row r="26" spans="1:11" ht="12.75">
      <c r="A26" s="259">
        <v>2012</v>
      </c>
      <c r="B26" s="250">
        <v>7.381605964</v>
      </c>
      <c r="C26" s="251">
        <v>10.9830122</v>
      </c>
      <c r="D26" s="251">
        <v>14.1041095</v>
      </c>
      <c r="E26" s="251">
        <v>13.9780652</v>
      </c>
      <c r="F26" s="252">
        <v>9.80476364</v>
      </c>
      <c r="G26" s="137"/>
      <c r="I26" s="262"/>
      <c r="J26" s="262"/>
      <c r="K26" s="261"/>
    </row>
    <row r="27" spans="1:11" ht="12.75">
      <c r="A27" s="258">
        <v>2013</v>
      </c>
      <c r="B27" s="254">
        <v>7.502307097</v>
      </c>
      <c r="C27" s="255">
        <v>10.9079971</v>
      </c>
      <c r="D27" s="255">
        <v>14.1701056</v>
      </c>
      <c r="E27" s="255">
        <v>13.2596967</v>
      </c>
      <c r="F27" s="256">
        <v>9.93052819</v>
      </c>
      <c r="G27" s="137"/>
      <c r="I27" s="262"/>
      <c r="J27" s="262"/>
      <c r="K27" s="261"/>
    </row>
    <row r="28" spans="1:7" ht="12.75">
      <c r="A28" s="1132">
        <v>2014</v>
      </c>
      <c r="B28" s="49">
        <v>8.031258113875248</v>
      </c>
      <c r="C28" s="29">
        <v>12.301411987957612</v>
      </c>
      <c r="D28" s="29">
        <v>15.78132862713845</v>
      </c>
      <c r="E28" s="29">
        <v>13.303554800411794</v>
      </c>
      <c r="F28" s="51">
        <v>10.783932753718151</v>
      </c>
      <c r="G28" s="137"/>
    </row>
    <row r="29" spans="1:16" ht="13.5" thickBot="1">
      <c r="A29" s="259"/>
      <c r="B29" s="250"/>
      <c r="C29" s="251"/>
      <c r="D29" s="251"/>
      <c r="E29" s="251"/>
      <c r="F29" s="252"/>
      <c r="G29" s="137"/>
      <c r="L29" s="56"/>
      <c r="M29" s="56"/>
      <c r="N29" s="56"/>
      <c r="O29" s="56"/>
      <c r="P29" s="56"/>
    </row>
    <row r="30" spans="1:16" ht="12.75">
      <c r="A30" s="263" t="s">
        <v>273</v>
      </c>
      <c r="B30" s="264">
        <f>(B28/B27)-1</f>
        <v>0.07050511396511117</v>
      </c>
      <c r="C30" s="264">
        <f>(C28/C27)-1</f>
        <v>0.12774250627162465</v>
      </c>
      <c r="D30" s="264">
        <f>(D28/D27)-1</f>
        <v>0.1137057882715038</v>
      </c>
      <c r="E30" s="264">
        <f>(E28/E27)-1</f>
        <v>0.0033076247069658837</v>
      </c>
      <c r="F30" s="265">
        <f>(F28/F27)-1</f>
        <v>0.08593747959726095</v>
      </c>
      <c r="G30" s="17"/>
      <c r="L30" s="56"/>
      <c r="M30" s="56"/>
      <c r="N30" s="56"/>
      <c r="O30" s="56"/>
      <c r="P30" s="56"/>
    </row>
    <row r="31" spans="1:16" ht="12.75">
      <c r="A31" s="266" t="s">
        <v>274</v>
      </c>
      <c r="B31" s="267">
        <f>((B28/B23)^(1/5))-1</f>
        <v>0.05686914112882535</v>
      </c>
      <c r="C31" s="267">
        <f>((C28/C23)^(1/5))-1</f>
        <v>0.05437532415525559</v>
      </c>
      <c r="D31" s="267">
        <f>((D28/D23)^(1/5))-1</f>
        <v>0.05760928549537381</v>
      </c>
      <c r="E31" s="267">
        <f>((E28/E23)^(1/5))-1</f>
        <v>0.02910440563939054</v>
      </c>
      <c r="F31" s="268">
        <f>((F28/F23)^(1/5))-1</f>
        <v>0.05489932744431236</v>
      </c>
      <c r="G31" s="17"/>
      <c r="J31" s="260"/>
      <c r="K31" s="260"/>
      <c r="L31" s="56"/>
      <c r="M31" s="56"/>
      <c r="N31" s="56"/>
      <c r="O31" s="56"/>
      <c r="P31" s="56"/>
    </row>
    <row r="32" spans="1:14" ht="12.75">
      <c r="A32" s="269" t="s">
        <v>275</v>
      </c>
      <c r="B32" s="270">
        <f>(B28/B18)-1</f>
        <v>0.49264279306273817</v>
      </c>
      <c r="C32" s="270">
        <f>(C28/C18)-1</f>
        <v>0.5839703334406885</v>
      </c>
      <c r="D32" s="270">
        <f>(D28/D18)-1</f>
        <v>0.584812171718692</v>
      </c>
      <c r="E32" s="270">
        <f>(E28/E18)-1</f>
        <v>0.3752887907341558</v>
      </c>
      <c r="F32" s="271">
        <f>(F28/F18)-1</f>
        <v>0.5322539173831395</v>
      </c>
      <c r="G32" s="17"/>
      <c r="J32" s="260"/>
      <c r="K32" s="260"/>
      <c r="L32" s="260"/>
      <c r="M32" s="260"/>
      <c r="N32" s="260"/>
    </row>
    <row r="33" spans="1:14" ht="13.5" thickBot="1">
      <c r="A33" s="272" t="s">
        <v>276</v>
      </c>
      <c r="B33" s="273">
        <f>((B28/B18)^(1/13))-1</f>
        <v>0.031290986876699955</v>
      </c>
      <c r="C33" s="273">
        <f>((C28/C18)^(1/13))-1</f>
        <v>0.036012885883489165</v>
      </c>
      <c r="D33" s="273">
        <f>((D28/D18)^(1/13))-1</f>
        <v>0.0360552303751247</v>
      </c>
      <c r="E33" s="273">
        <f>((E28/E18)^(1/13))-1</f>
        <v>0.02481549886802714</v>
      </c>
      <c r="F33" s="274">
        <f>((F28/F18)^(1/13))-1</f>
        <v>0.033370860174713135</v>
      </c>
      <c r="G33" s="17"/>
      <c r="I33" s="262"/>
      <c r="J33" s="260"/>
      <c r="K33" s="260"/>
      <c r="L33" s="260"/>
      <c r="M33" s="260"/>
      <c r="N33" s="260"/>
    </row>
    <row r="34" spans="1:7" ht="12.75">
      <c r="A34" s="275" t="s">
        <v>62</v>
      </c>
      <c r="B34" s="6"/>
      <c r="C34" s="6"/>
      <c r="D34" s="6"/>
      <c r="E34" s="6"/>
      <c r="F34" s="6"/>
      <c r="G34" s="17"/>
    </row>
    <row r="35" spans="2:7" ht="15.75">
      <c r="B35" s="16"/>
      <c r="C35" s="16"/>
      <c r="D35" s="16"/>
      <c r="E35" s="13"/>
      <c r="F35" s="14"/>
      <c r="G35" s="17"/>
    </row>
    <row r="36" spans="2:7" ht="15.75">
      <c r="B36" s="16"/>
      <c r="C36" s="16"/>
      <c r="D36" s="16"/>
      <c r="E36" s="13"/>
      <c r="F36" s="14"/>
      <c r="G36" s="17"/>
    </row>
    <row r="37" spans="1:7" ht="15.75">
      <c r="A37" s="57"/>
      <c r="B37" s="16"/>
      <c r="C37" s="16"/>
      <c r="D37" s="16"/>
      <c r="E37" s="13"/>
      <c r="F37" s="14"/>
      <c r="G37" s="17"/>
    </row>
    <row r="38" ht="12.75">
      <c r="G38" s="18"/>
    </row>
  </sheetData>
  <sheetProtection/>
  <mergeCells count="6">
    <mergeCell ref="B5:F5"/>
    <mergeCell ref="B6:B7"/>
    <mergeCell ref="C6:C7"/>
    <mergeCell ref="D6:D7"/>
    <mergeCell ref="E6:E7"/>
    <mergeCell ref="F6:F7"/>
  </mergeCells>
  <printOptions/>
  <pageMargins left="0.9" right="0.05" top="0.94" bottom="1" header="0" footer="0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34"/>
  <sheetViews>
    <sheetView view="pageBreakPreview" zoomScale="115" zoomScaleNormal="90" zoomScaleSheetLayoutView="115" zoomScalePageLayoutView="0" workbookViewId="0" topLeftCell="A31">
      <selection activeCell="H52" sqref="H52"/>
    </sheetView>
  </sheetViews>
  <sheetFormatPr defaultColWidth="11.421875" defaultRowHeight="12.75"/>
  <cols>
    <col min="1" max="1" width="7.28125" style="0" customWidth="1"/>
    <col min="2" max="2" width="22.421875" style="0" customWidth="1"/>
    <col min="3" max="7" width="16.140625" style="0" customWidth="1"/>
    <col min="8" max="8" width="16.8515625" style="0" customWidth="1"/>
    <col min="9" max="9" width="13.8515625" style="0" customWidth="1"/>
    <col min="10" max="10" width="15.8515625" style="0" customWidth="1"/>
    <col min="11" max="12" width="13.421875" style="0" customWidth="1"/>
    <col min="13" max="13" width="12.421875" style="0" customWidth="1"/>
    <col min="14" max="14" width="49.28125" style="6" customWidth="1"/>
    <col min="15" max="15" width="2.8515625" style="0" customWidth="1"/>
  </cols>
  <sheetData>
    <row r="3" spans="1:7" ht="20.25">
      <c r="A3" s="71" t="s">
        <v>64</v>
      </c>
      <c r="C3" s="7"/>
      <c r="D3" s="7"/>
      <c r="E3" s="7"/>
      <c r="F3" s="7"/>
      <c r="G3" s="7"/>
    </row>
    <row r="4" spans="2:7" ht="18">
      <c r="B4" s="72"/>
      <c r="C4" s="7"/>
      <c r="D4" s="7"/>
      <c r="E4" s="7"/>
      <c r="F4" s="7"/>
      <c r="G4" s="7"/>
    </row>
    <row r="5" spans="2:18" ht="13.5" thickBot="1">
      <c r="B5" s="73"/>
      <c r="C5" s="73"/>
      <c r="D5" s="73"/>
      <c r="E5" s="73"/>
      <c r="F5" s="73"/>
      <c r="G5" s="73"/>
      <c r="K5" s="6"/>
      <c r="L5" s="20"/>
      <c r="M5" s="20"/>
      <c r="N5" s="20"/>
      <c r="O5" s="20"/>
      <c r="P5" s="20"/>
      <c r="Q5" s="7"/>
      <c r="R5" s="7"/>
    </row>
    <row r="6" spans="2:18" ht="12.75">
      <c r="B6" s="1185"/>
      <c r="C6" s="1186" t="s">
        <v>52</v>
      </c>
      <c r="D6" s="1249" t="s">
        <v>53</v>
      </c>
      <c r="E6" s="1266"/>
      <c r="F6" s="1267"/>
      <c r="G6" s="1187" t="s">
        <v>13</v>
      </c>
      <c r="K6" s="6"/>
      <c r="L6" s="20"/>
      <c r="M6" s="20"/>
      <c r="N6" s="20"/>
      <c r="O6" s="20"/>
      <c r="P6" s="20"/>
      <c r="Q6" s="7"/>
      <c r="R6" s="7"/>
    </row>
    <row r="7" spans="2:18" ht="13.5" thickBot="1">
      <c r="B7" s="1188" t="s">
        <v>18</v>
      </c>
      <c r="C7" s="1188" t="s">
        <v>0</v>
      </c>
      <c r="D7" s="1188" t="s">
        <v>0</v>
      </c>
      <c r="E7" s="1189" t="s">
        <v>10</v>
      </c>
      <c r="F7" s="1190" t="s">
        <v>11</v>
      </c>
      <c r="G7" s="1191" t="s">
        <v>54</v>
      </c>
      <c r="K7" s="6"/>
      <c r="L7" s="20"/>
      <c r="M7" s="20"/>
      <c r="N7" s="20"/>
      <c r="O7" s="20"/>
      <c r="P7" s="20"/>
      <c r="Q7" s="7"/>
      <c r="R7" s="7"/>
    </row>
    <row r="8" spans="2:18" ht="12.75">
      <c r="B8" s="40">
        <v>1995</v>
      </c>
      <c r="C8" s="42">
        <f aca="true" t="shared" si="0" ref="C8:C17">SUM(E8+F8+G8)</f>
        <v>13623.056128000004</v>
      </c>
      <c r="D8" s="42">
        <f>+E8+F8</f>
        <v>9849.256128000005</v>
      </c>
      <c r="E8" s="569">
        <v>8673.708087000005</v>
      </c>
      <c r="F8" s="568">
        <v>1175.548041</v>
      </c>
      <c r="G8" s="114">
        <v>3773.8</v>
      </c>
      <c r="I8" s="16"/>
      <c r="J8" s="74"/>
      <c r="K8" s="6"/>
      <c r="L8" s="20"/>
      <c r="M8" s="75"/>
      <c r="N8" s="75"/>
      <c r="O8" s="20"/>
      <c r="P8" s="20"/>
      <c r="Q8" s="7"/>
      <c r="R8" s="7"/>
    </row>
    <row r="9" spans="2:18" ht="12.75">
      <c r="B9" s="40">
        <v>1996</v>
      </c>
      <c r="C9" s="42">
        <f t="shared" si="0"/>
        <v>14303.13959799999</v>
      </c>
      <c r="D9" s="42">
        <f aca="true" t="shared" si="1" ref="D9:D17">+E9+F9</f>
        <v>10330.839597999991</v>
      </c>
      <c r="E9" s="114">
        <v>8770.610735999991</v>
      </c>
      <c r="F9" s="568">
        <v>1560.228862</v>
      </c>
      <c r="G9" s="114">
        <v>3972.3</v>
      </c>
      <c r="I9" s="16"/>
      <c r="J9" s="74"/>
      <c r="K9" s="6"/>
      <c r="L9" s="20"/>
      <c r="M9" s="76"/>
      <c r="N9" s="76"/>
      <c r="O9" s="76"/>
      <c r="P9" s="20"/>
      <c r="Q9" s="7"/>
      <c r="R9" s="7"/>
    </row>
    <row r="10" spans="2:18" ht="12.75">
      <c r="B10" s="40">
        <v>1997</v>
      </c>
      <c r="C10" s="42">
        <f t="shared" si="0"/>
        <v>15056.08015999999</v>
      </c>
      <c r="D10" s="42">
        <f t="shared" si="1"/>
        <v>12451.23015999999</v>
      </c>
      <c r="E10" s="114">
        <v>9377.89467999999</v>
      </c>
      <c r="F10" s="568">
        <v>3073.3354799999997</v>
      </c>
      <c r="G10" s="114">
        <v>2604.85</v>
      </c>
      <c r="I10" s="16"/>
      <c r="J10" s="74"/>
      <c r="K10" s="6"/>
      <c r="L10" s="20"/>
      <c r="M10" s="76"/>
      <c r="N10" s="76"/>
      <c r="O10" s="76"/>
      <c r="P10" s="20"/>
      <c r="Q10" s="7"/>
      <c r="R10" s="7"/>
    </row>
    <row r="11" spans="2:18" ht="12.75">
      <c r="B11" s="40">
        <v>1998</v>
      </c>
      <c r="C11" s="42">
        <f t="shared" si="0"/>
        <v>15775.176823</v>
      </c>
      <c r="D11" s="42">
        <f t="shared" si="1"/>
        <v>14008.576823</v>
      </c>
      <c r="E11" s="114">
        <v>9878.661572999998</v>
      </c>
      <c r="F11" s="568">
        <v>4129.915250000001</v>
      </c>
      <c r="G11" s="114">
        <v>1766.6</v>
      </c>
      <c r="I11" s="16"/>
      <c r="J11" s="74"/>
      <c r="K11" s="6"/>
      <c r="L11" s="20"/>
      <c r="M11" s="76"/>
      <c r="N11" s="76"/>
      <c r="O11" s="76"/>
      <c r="P11" s="20"/>
      <c r="Q11" s="7"/>
      <c r="R11" s="7"/>
    </row>
    <row r="12" spans="2:18" ht="12.75">
      <c r="B12" s="40">
        <v>1999</v>
      </c>
      <c r="C12" s="42">
        <f t="shared" si="0"/>
        <v>16274.991559000011</v>
      </c>
      <c r="D12" s="42">
        <f t="shared" si="1"/>
        <v>14591.991559000011</v>
      </c>
      <c r="E12" s="114">
        <v>10198.991027000011</v>
      </c>
      <c r="F12" s="568">
        <v>4393.000532</v>
      </c>
      <c r="G12" s="114">
        <v>1683</v>
      </c>
      <c r="I12" s="16"/>
      <c r="J12" s="74"/>
      <c r="K12" s="6"/>
      <c r="L12" s="20"/>
      <c r="M12" s="76"/>
      <c r="N12" s="76"/>
      <c r="O12" s="76"/>
      <c r="P12" s="20"/>
      <c r="Q12" s="7"/>
      <c r="R12" s="7"/>
    </row>
    <row r="13" spans="2:18" ht="12.75">
      <c r="B13" s="40">
        <v>2000</v>
      </c>
      <c r="C13" s="42">
        <f t="shared" si="0"/>
        <v>17140.395011000015</v>
      </c>
      <c r="D13" s="42">
        <f t="shared" si="1"/>
        <v>15545.595392000014</v>
      </c>
      <c r="E13" s="114">
        <v>10763.269271000014</v>
      </c>
      <c r="F13" s="568">
        <v>4782.326121</v>
      </c>
      <c r="G13" s="114">
        <v>1594.799619</v>
      </c>
      <c r="I13" s="16"/>
      <c r="J13" s="74"/>
      <c r="K13" s="6"/>
      <c r="L13" s="20"/>
      <c r="M13" s="20"/>
      <c r="N13" s="20"/>
      <c r="O13" s="20"/>
      <c r="P13" s="20"/>
      <c r="Q13" s="7"/>
      <c r="R13" s="7"/>
    </row>
    <row r="14" spans="2:18" ht="12.75">
      <c r="B14" s="40">
        <v>2001</v>
      </c>
      <c r="C14" s="42">
        <f t="shared" si="0"/>
        <v>18199.95454499999</v>
      </c>
      <c r="D14" s="42">
        <f t="shared" si="1"/>
        <v>16628.75454499999</v>
      </c>
      <c r="E14" s="114">
        <v>10522.374724999987</v>
      </c>
      <c r="F14" s="568">
        <v>6106.37982</v>
      </c>
      <c r="G14" s="114">
        <v>1571.2</v>
      </c>
      <c r="I14" s="16"/>
      <c r="J14" s="74"/>
      <c r="K14" s="6"/>
      <c r="L14" s="20"/>
      <c r="M14" s="20"/>
      <c r="N14" s="76"/>
      <c r="O14" s="20"/>
      <c r="P14" s="20"/>
      <c r="Q14" s="7"/>
      <c r="R14" s="7"/>
    </row>
    <row r="15" spans="2:18" ht="12.75">
      <c r="B15" s="40">
        <v>2002</v>
      </c>
      <c r="C15" s="42">
        <f t="shared" si="0"/>
        <v>19168.140412848003</v>
      </c>
      <c r="D15" s="42">
        <f t="shared" si="1"/>
        <v>17605.325913848</v>
      </c>
      <c r="E15" s="114">
        <v>11113.547163000001</v>
      </c>
      <c r="F15" s="568">
        <v>6491.778750848</v>
      </c>
      <c r="G15" s="114">
        <v>1562.8144990000035</v>
      </c>
      <c r="I15" s="16"/>
      <c r="J15" s="74"/>
      <c r="K15" s="6"/>
      <c r="L15" s="20"/>
      <c r="M15" s="20"/>
      <c r="N15" s="76"/>
      <c r="O15" s="20"/>
      <c r="P15" s="20"/>
      <c r="Q15" s="7"/>
      <c r="R15" s="7"/>
    </row>
    <row r="16" spans="2:16" ht="12.75">
      <c r="B16" s="41">
        <v>2003</v>
      </c>
      <c r="C16" s="42">
        <f>SUM(E16+F16+G16)</f>
        <v>19937.226353999995</v>
      </c>
      <c r="D16" s="42">
        <f t="shared" si="1"/>
        <v>18375.335409999996</v>
      </c>
      <c r="E16" s="114">
        <v>11303.613572999999</v>
      </c>
      <c r="F16" s="568">
        <v>7071.721836999998</v>
      </c>
      <c r="G16" s="114">
        <v>1561.8909439999998</v>
      </c>
      <c r="I16" s="16"/>
      <c r="J16" s="74"/>
      <c r="K16" s="6"/>
      <c r="L16" s="6"/>
      <c r="M16" s="6"/>
      <c r="N16" s="76"/>
      <c r="O16" s="6"/>
      <c r="P16" s="6"/>
    </row>
    <row r="17" spans="2:16" ht="12.75">
      <c r="B17" s="40">
        <v>2004</v>
      </c>
      <c r="C17" s="42">
        <f t="shared" si="0"/>
        <v>21287.72439</v>
      </c>
      <c r="D17" s="42">
        <f t="shared" si="1"/>
        <v>19640.65111</v>
      </c>
      <c r="E17" s="114">
        <v>12001.305316</v>
      </c>
      <c r="F17" s="568">
        <v>7639.345794000001</v>
      </c>
      <c r="G17" s="114">
        <v>1647.0732800000003</v>
      </c>
      <c r="I17" s="16"/>
      <c r="J17" s="74"/>
      <c r="K17" s="6"/>
      <c r="L17" s="6"/>
      <c r="M17" s="6"/>
      <c r="N17" s="76"/>
      <c r="O17" s="6"/>
      <c r="P17" s="6"/>
    </row>
    <row r="18" spans="2:14" ht="12.75">
      <c r="B18" s="40">
        <v>2005</v>
      </c>
      <c r="C18" s="42">
        <f aca="true" t="shared" si="2" ref="C18:C26">SUM(E18+F18+G18)</f>
        <v>22400.244750429476</v>
      </c>
      <c r="D18" s="42">
        <f aca="true" t="shared" si="3" ref="D18:D26">+E18+F18</f>
        <v>20701.382880222223</v>
      </c>
      <c r="E18" s="114">
        <v>12914.287800222222</v>
      </c>
      <c r="F18" s="568">
        <v>7787.095080000001</v>
      </c>
      <c r="G18" s="114">
        <v>1698.861870207253</v>
      </c>
      <c r="I18" s="16"/>
      <c r="J18" s="74"/>
      <c r="N18" s="76"/>
    </row>
    <row r="19" spans="2:14" ht="12.75">
      <c r="B19" s="40">
        <v>2006</v>
      </c>
      <c r="C19" s="42">
        <f t="shared" si="2"/>
        <v>24046.12609062141</v>
      </c>
      <c r="D19" s="42">
        <f t="shared" si="3"/>
        <v>22290.061152999995</v>
      </c>
      <c r="E19" s="114">
        <v>14043.638326999999</v>
      </c>
      <c r="F19" s="568">
        <v>8246.422825999998</v>
      </c>
      <c r="G19" s="114">
        <v>1756.064937621414</v>
      </c>
      <c r="I19" s="16"/>
      <c r="J19" s="74"/>
      <c r="N19" s="76"/>
    </row>
    <row r="20" spans="2:14" ht="12.75">
      <c r="B20" s="40">
        <v>2007</v>
      </c>
      <c r="C20" s="42">
        <f t="shared" si="2"/>
        <v>26464.30460466</v>
      </c>
      <c r="D20" s="42">
        <f t="shared" si="3"/>
        <v>24721.748552999998</v>
      </c>
      <c r="E20" s="114">
        <v>15032.180854999999</v>
      </c>
      <c r="F20" s="568">
        <v>9689.567697999999</v>
      </c>
      <c r="G20" s="114">
        <v>1742.55605166</v>
      </c>
      <c r="J20" s="74"/>
      <c r="N20" s="76"/>
    </row>
    <row r="21" spans="2:14" ht="12.75">
      <c r="B21" s="40">
        <v>2008</v>
      </c>
      <c r="C21" s="42">
        <f t="shared" si="2"/>
        <v>28833.06706300001</v>
      </c>
      <c r="D21" s="42">
        <f t="shared" si="3"/>
        <v>26964.41459600001</v>
      </c>
      <c r="E21" s="114">
        <v>16297.176545000008</v>
      </c>
      <c r="F21" s="568">
        <v>10667.238051000004</v>
      </c>
      <c r="G21" s="114">
        <v>1868.652467</v>
      </c>
      <c r="H21" s="101"/>
      <c r="J21" s="74"/>
      <c r="N21" s="76"/>
    </row>
    <row r="22" spans="2:14" ht="12.75">
      <c r="B22" s="41">
        <v>2009</v>
      </c>
      <c r="C22" s="42">
        <f t="shared" si="2"/>
        <v>29109.838815000003</v>
      </c>
      <c r="D22" s="42">
        <f t="shared" si="3"/>
        <v>27087.005777000002</v>
      </c>
      <c r="E22" s="114">
        <v>17000.664145000002</v>
      </c>
      <c r="F22" s="568">
        <v>10086.341632</v>
      </c>
      <c r="G22" s="114">
        <v>2022.8330379999998</v>
      </c>
      <c r="H22" s="101"/>
      <c r="J22" s="74"/>
      <c r="N22" s="76"/>
    </row>
    <row r="23" spans="2:14" ht="12.75">
      <c r="B23" s="41">
        <v>2010</v>
      </c>
      <c r="C23" s="42">
        <f t="shared" si="2"/>
        <v>31798.367258000002</v>
      </c>
      <c r="D23" s="42">
        <f t="shared" si="3"/>
        <v>29436.175124</v>
      </c>
      <c r="E23" s="114">
        <v>18195.325098</v>
      </c>
      <c r="F23" s="568">
        <v>11240.850026</v>
      </c>
      <c r="G23" s="114">
        <v>2362.192134000001</v>
      </c>
      <c r="H23" s="101"/>
      <c r="J23" s="74"/>
      <c r="N23" s="76"/>
    </row>
    <row r="24" spans="2:14" ht="12.75">
      <c r="B24" s="41">
        <v>2011</v>
      </c>
      <c r="C24" s="42">
        <f t="shared" si="2"/>
        <v>34378.27975902477</v>
      </c>
      <c r="D24" s="42">
        <f t="shared" si="3"/>
        <v>31820.350805251102</v>
      </c>
      <c r="E24" s="114">
        <v>19753.040698251105</v>
      </c>
      <c r="F24" s="568">
        <v>12067.310107</v>
      </c>
      <c r="G24" s="114">
        <v>2557.9289537736718</v>
      </c>
      <c r="H24" s="101"/>
      <c r="J24" s="74"/>
      <c r="N24" s="76"/>
    </row>
    <row r="25" spans="2:14" ht="12.75">
      <c r="B25" s="41">
        <v>2012</v>
      </c>
      <c r="C25" s="42">
        <f t="shared" si="2"/>
        <v>36323.13966340795</v>
      </c>
      <c r="D25" s="42">
        <f t="shared" si="3"/>
        <v>33648.185935</v>
      </c>
      <c r="E25" s="114">
        <v>20947.295381</v>
      </c>
      <c r="F25" s="568">
        <v>12700.890554</v>
      </c>
      <c r="G25" s="114">
        <v>2674.953728407947</v>
      </c>
      <c r="H25" s="101"/>
      <c r="J25" s="74"/>
      <c r="N25" s="76"/>
    </row>
    <row r="26" spans="2:14" ht="12.75">
      <c r="B26" s="41">
        <v>2013</v>
      </c>
      <c r="C26" s="42">
        <f t="shared" si="2"/>
        <v>38275.164241306404</v>
      </c>
      <c r="D26" s="42">
        <f t="shared" si="3"/>
        <v>35609.6527</v>
      </c>
      <c r="E26" s="114">
        <v>21935.480477</v>
      </c>
      <c r="F26" s="535">
        <v>13674.172223</v>
      </c>
      <c r="G26" s="78">
        <v>2665.511541306406</v>
      </c>
      <c r="H26" s="101"/>
      <c r="J26" s="74"/>
      <c r="N26" s="76"/>
    </row>
    <row r="27" spans="2:14" ht="12.75">
      <c r="B27" s="41">
        <v>2014</v>
      </c>
      <c r="C27" s="42">
        <f>SUM(E27+F27+G27)</f>
        <v>40029.37290133096</v>
      </c>
      <c r="D27" s="42">
        <f>+E27+F27</f>
        <v>37325.80105819716</v>
      </c>
      <c r="E27" s="114">
        <v>22779.996057397166</v>
      </c>
      <c r="F27" s="535">
        <v>14545.8050008</v>
      </c>
      <c r="G27" s="78">
        <v>2703.5718431337964</v>
      </c>
      <c r="H27" s="101"/>
      <c r="J27" s="74"/>
      <c r="N27" s="76"/>
    </row>
    <row r="28" spans="2:14" ht="13.5" thickBot="1">
      <c r="B28" s="130"/>
      <c r="C28" s="42"/>
      <c r="D28" s="42"/>
      <c r="E28" s="114"/>
      <c r="F28" s="535"/>
      <c r="G28" s="78"/>
      <c r="H28" s="101"/>
      <c r="N28" s="76"/>
    </row>
    <row r="29" spans="2:8" ht="12.75">
      <c r="B29" s="54" t="s">
        <v>273</v>
      </c>
      <c r="C29" s="77">
        <f>(C27/C26)-1</f>
        <v>0.0458315122820927</v>
      </c>
      <c r="D29" s="77">
        <f>(D27/D26)-1</f>
        <v>0.04819334725489077</v>
      </c>
      <c r="E29" s="77">
        <f>(E27/E26)-1</f>
        <v>0.03849998094560392</v>
      </c>
      <c r="F29" s="77">
        <f>(F27/F26)-1</f>
        <v>0.06374300130094235</v>
      </c>
      <c r="G29" s="1133">
        <f>(G27/G26)-1</f>
        <v>0.014278798361059275</v>
      </c>
      <c r="H29" s="7"/>
    </row>
    <row r="30" spans="2:8" ht="12.75">
      <c r="B30" s="54" t="s">
        <v>274</v>
      </c>
      <c r="C30" s="92">
        <f>((C27/C22)^(1/5))-1</f>
        <v>0.06578056683188094</v>
      </c>
      <c r="D30" s="92">
        <f>((D27/D22)^(1/5))-1</f>
        <v>0.06622688064817162</v>
      </c>
      <c r="E30" s="92">
        <f>((E27/E22)^(1/5))-1</f>
        <v>0.060272631794592746</v>
      </c>
      <c r="F30" s="92">
        <f>((F27/F22)^(1/5))-1</f>
        <v>0.07597162243864997</v>
      </c>
      <c r="G30" s="85">
        <f>((G27/G22)^(1/5))-1</f>
        <v>0.05973084507690363</v>
      </c>
      <c r="H30" s="7"/>
    </row>
    <row r="31" spans="2:8" ht="12.75">
      <c r="B31" s="32" t="s">
        <v>275</v>
      </c>
      <c r="C31" s="90">
        <f>(C27/C17)-1</f>
        <v>0.8803969916171466</v>
      </c>
      <c r="D31" s="90">
        <f>(D27/D17)-1</f>
        <v>0.9004360318377023</v>
      </c>
      <c r="E31" s="90">
        <f>(E27/E17)-1</f>
        <v>0.8981265335385762</v>
      </c>
      <c r="F31" s="90">
        <f>(F27/F17)-1</f>
        <v>0.9040642213400503</v>
      </c>
      <c r="G31" s="91">
        <f>(G27/G17)-1</f>
        <v>0.6414399261785098</v>
      </c>
      <c r="H31" s="7"/>
    </row>
    <row r="32" spans="2:7" ht="13.5" thickBot="1">
      <c r="B32" s="80" t="s">
        <v>276</v>
      </c>
      <c r="C32" s="113">
        <f>((C27/C17)^(1/10))-1</f>
        <v>0.06518478593448118</v>
      </c>
      <c r="D32" s="113">
        <f>((D27/D17)^(1/10))-1</f>
        <v>0.0663145262893885</v>
      </c>
      <c r="E32" s="113">
        <f>((E27/E17)^(1/10))-1</f>
        <v>0.0661848718675131</v>
      </c>
      <c r="F32" s="113">
        <f>((F27/F17)^(1/10))-1</f>
        <v>0.06651792547769841</v>
      </c>
      <c r="G32" s="1134">
        <f>((G27/G17)^(1/10))-1</f>
        <v>0.05080589207185948</v>
      </c>
    </row>
    <row r="34" ht="12.75">
      <c r="B34" s="57"/>
    </row>
  </sheetData>
  <sheetProtection/>
  <mergeCells count="1">
    <mergeCell ref="D6:F6"/>
  </mergeCells>
  <printOptions/>
  <pageMargins left="1.07" right="1.16" top="1.03" bottom="1" header="0" footer="0"/>
  <pageSetup fitToHeight="1" fitToWidth="1"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AB57"/>
  <sheetViews>
    <sheetView view="pageBreakPreview" zoomScale="115" zoomScaleNormal="115" zoomScaleSheetLayoutView="115" zoomScalePageLayoutView="0" workbookViewId="0" topLeftCell="A1">
      <selection activeCell="J31" sqref="J31"/>
    </sheetView>
  </sheetViews>
  <sheetFormatPr defaultColWidth="11.421875" defaultRowHeight="12.75"/>
  <cols>
    <col min="1" max="1" width="10.140625" style="0" customWidth="1"/>
    <col min="2" max="2" width="7.421875" style="0" customWidth="1"/>
    <col min="3" max="3" width="12.421875" style="0" customWidth="1"/>
    <col min="4" max="4" width="7.7109375" style="0" customWidth="1"/>
    <col min="5" max="5" width="7.140625" style="0" customWidth="1"/>
    <col min="6" max="6" width="7.00390625" style="0" customWidth="1"/>
    <col min="7" max="7" width="7.57421875" style="0" customWidth="1"/>
    <col min="8" max="8" width="9.57421875" style="0" customWidth="1"/>
    <col min="9" max="9" width="8.28125" style="0" customWidth="1"/>
    <col min="10" max="10" width="7.57421875" style="0" customWidth="1"/>
    <col min="11" max="11" width="8.7109375" style="0" customWidth="1"/>
    <col min="13" max="13" width="12.57421875" style="0" customWidth="1"/>
    <col min="15" max="15" width="2.140625" style="0" customWidth="1"/>
    <col min="16" max="16" width="1.28515625" style="0" customWidth="1"/>
    <col min="17" max="17" width="10.00390625" style="0" customWidth="1"/>
    <col min="26" max="26" width="11.7109375" style="0" bestFit="1" customWidth="1"/>
    <col min="27" max="27" width="11.8515625" style="0" bestFit="1" customWidth="1"/>
  </cols>
  <sheetData>
    <row r="3" ht="18">
      <c r="A3" s="9" t="s">
        <v>55</v>
      </c>
    </row>
    <row r="4" ht="12.75">
      <c r="Q4" s="6"/>
    </row>
    <row r="5" ht="13.5" thickBot="1">
      <c r="Q5" s="6"/>
    </row>
    <row r="6" spans="1:17" s="11" customFormat="1" ht="18" customHeight="1" thickBot="1">
      <c r="A6" s="1249" t="s">
        <v>18</v>
      </c>
      <c r="B6" s="1289"/>
      <c r="C6" s="1192" t="s">
        <v>27</v>
      </c>
      <c r="D6" s="1284" t="s">
        <v>19</v>
      </c>
      <c r="E6" s="1285"/>
      <c r="F6" s="1285"/>
      <c r="G6" s="1286"/>
      <c r="H6" s="1282" t="s">
        <v>25</v>
      </c>
      <c r="I6" s="1199"/>
      <c r="J6" s="1200" t="s">
        <v>20</v>
      </c>
      <c r="K6" s="1200"/>
      <c r="L6" s="1201"/>
      <c r="M6" s="1280" t="s">
        <v>26</v>
      </c>
      <c r="N6" s="1193" t="s">
        <v>45</v>
      </c>
      <c r="Q6" s="1135"/>
    </row>
    <row r="7" spans="1:17" s="11" customFormat="1" ht="18" customHeight="1">
      <c r="A7" s="1290"/>
      <c r="B7" s="1291"/>
      <c r="C7" s="1194" t="s">
        <v>28</v>
      </c>
      <c r="D7" s="1195" t="s">
        <v>21</v>
      </c>
      <c r="E7" s="1196" t="s">
        <v>22</v>
      </c>
      <c r="F7" s="1196" t="s">
        <v>23</v>
      </c>
      <c r="G7" s="1196" t="s">
        <v>24</v>
      </c>
      <c r="H7" s="1283"/>
      <c r="I7" s="1197" t="s">
        <v>21</v>
      </c>
      <c r="J7" s="1196" t="s">
        <v>22</v>
      </c>
      <c r="K7" s="1194" t="s">
        <v>23</v>
      </c>
      <c r="L7" s="1194" t="s">
        <v>24</v>
      </c>
      <c r="M7" s="1281"/>
      <c r="N7" s="1198" t="s">
        <v>44</v>
      </c>
      <c r="Q7" s="1136"/>
    </row>
    <row r="8" spans="1:17" ht="12" customHeight="1">
      <c r="A8" s="1270">
        <v>1995</v>
      </c>
      <c r="B8" s="1271"/>
      <c r="C8" s="577">
        <f aca="true" t="shared" si="0" ref="C8:C26">SUM(H8,M8)</f>
        <v>2491835</v>
      </c>
      <c r="D8" s="579">
        <v>7</v>
      </c>
      <c r="E8" s="582">
        <v>28</v>
      </c>
      <c r="F8" s="582">
        <v>156</v>
      </c>
      <c r="G8" s="582">
        <v>15</v>
      </c>
      <c r="H8" s="586">
        <f aca="true" t="shared" si="1" ref="H8:H26">SUM(D8,E8,F8,G8)</f>
        <v>206</v>
      </c>
      <c r="I8" s="589"/>
      <c r="J8" s="589">
        <v>13</v>
      </c>
      <c r="K8" s="577">
        <v>3747</v>
      </c>
      <c r="L8" s="577">
        <v>2487869</v>
      </c>
      <c r="M8" s="598">
        <f aca="true" t="shared" si="2" ref="M8:M23">SUM(J8,K8,L8)</f>
        <v>2491629</v>
      </c>
      <c r="N8" s="601"/>
      <c r="O8" s="6"/>
      <c r="Q8" s="20"/>
    </row>
    <row r="9" spans="1:17" ht="12" customHeight="1">
      <c r="A9" s="1270">
        <v>1996</v>
      </c>
      <c r="B9" s="1271"/>
      <c r="C9" s="577">
        <f t="shared" si="0"/>
        <v>2775713</v>
      </c>
      <c r="D9" s="579">
        <v>8</v>
      </c>
      <c r="E9" s="582">
        <v>28</v>
      </c>
      <c r="F9" s="582">
        <v>153</v>
      </c>
      <c r="G9" s="582">
        <v>10</v>
      </c>
      <c r="H9" s="586">
        <f t="shared" si="1"/>
        <v>199</v>
      </c>
      <c r="I9" s="589"/>
      <c r="J9" s="589">
        <v>15</v>
      </c>
      <c r="K9" s="577">
        <v>4866</v>
      </c>
      <c r="L9" s="577">
        <v>2770633</v>
      </c>
      <c r="M9" s="598">
        <f t="shared" si="2"/>
        <v>2775514</v>
      </c>
      <c r="N9" s="601">
        <f aca="true" t="shared" si="3" ref="N9:N26">+(C9-C8)/C9</f>
        <v>0.10227210089803954</v>
      </c>
      <c r="O9" s="6"/>
      <c r="Q9" s="20"/>
    </row>
    <row r="10" spans="1:17" ht="12" customHeight="1">
      <c r="A10" s="1270">
        <v>1997</v>
      </c>
      <c r="B10" s="1271"/>
      <c r="C10" s="577">
        <f t="shared" si="0"/>
        <v>2964315</v>
      </c>
      <c r="D10" s="579">
        <v>11</v>
      </c>
      <c r="E10" s="582">
        <v>35</v>
      </c>
      <c r="F10" s="582">
        <v>157</v>
      </c>
      <c r="G10" s="582">
        <v>9</v>
      </c>
      <c r="H10" s="586">
        <f t="shared" si="1"/>
        <v>212</v>
      </c>
      <c r="I10" s="589"/>
      <c r="J10" s="589">
        <v>17</v>
      </c>
      <c r="K10" s="577">
        <v>4861</v>
      </c>
      <c r="L10" s="577">
        <v>2959225</v>
      </c>
      <c r="M10" s="598">
        <f t="shared" si="2"/>
        <v>2964103</v>
      </c>
      <c r="N10" s="601">
        <f t="shared" si="3"/>
        <v>0.0636241425084716</v>
      </c>
      <c r="O10" s="6"/>
      <c r="Q10" s="20"/>
    </row>
    <row r="11" spans="1:17" ht="12" customHeight="1">
      <c r="A11" s="1287">
        <v>1998</v>
      </c>
      <c r="B11" s="1288"/>
      <c r="C11" s="578">
        <f t="shared" si="0"/>
        <v>3057320</v>
      </c>
      <c r="D11" s="580">
        <v>17</v>
      </c>
      <c r="E11" s="583">
        <v>37</v>
      </c>
      <c r="F11" s="583">
        <v>163</v>
      </c>
      <c r="G11" s="583">
        <v>1</v>
      </c>
      <c r="H11" s="587">
        <f t="shared" si="1"/>
        <v>218</v>
      </c>
      <c r="I11" s="590"/>
      <c r="J11" s="590">
        <v>13</v>
      </c>
      <c r="K11" s="578">
        <v>5372</v>
      </c>
      <c r="L11" s="578">
        <v>3051717</v>
      </c>
      <c r="M11" s="599">
        <f t="shared" si="2"/>
        <v>3057102</v>
      </c>
      <c r="N11" s="602">
        <f t="shared" si="3"/>
        <v>0.030420433582353173</v>
      </c>
      <c r="O11" s="6"/>
      <c r="Q11" s="20"/>
    </row>
    <row r="12" spans="1:17" ht="12" customHeight="1">
      <c r="A12" s="1270">
        <v>1999</v>
      </c>
      <c r="B12" s="1271"/>
      <c r="C12" s="577">
        <f t="shared" si="0"/>
        <v>3217058</v>
      </c>
      <c r="D12" s="579">
        <v>13</v>
      </c>
      <c r="E12" s="582">
        <v>41</v>
      </c>
      <c r="F12" s="582">
        <v>168</v>
      </c>
      <c r="G12" s="582">
        <v>1</v>
      </c>
      <c r="H12" s="586">
        <f t="shared" si="1"/>
        <v>223</v>
      </c>
      <c r="I12" s="589"/>
      <c r="J12" s="589">
        <v>20</v>
      </c>
      <c r="K12" s="577">
        <v>5774</v>
      </c>
      <c r="L12" s="577">
        <v>3211041</v>
      </c>
      <c r="M12" s="598">
        <f t="shared" si="2"/>
        <v>3216835</v>
      </c>
      <c r="N12" s="601">
        <f t="shared" si="3"/>
        <v>0.04965344112540091</v>
      </c>
      <c r="O12" s="6"/>
      <c r="Q12" s="20"/>
    </row>
    <row r="13" spans="1:17" ht="12" customHeight="1">
      <c r="A13" s="1270">
        <v>2000</v>
      </c>
      <c r="B13" s="1271"/>
      <c r="C13" s="577">
        <f t="shared" si="0"/>
        <v>3352209</v>
      </c>
      <c r="D13" s="579">
        <v>15</v>
      </c>
      <c r="E13" s="582">
        <v>40</v>
      </c>
      <c r="F13" s="582">
        <v>174</v>
      </c>
      <c r="G13" s="582"/>
      <c r="H13" s="586">
        <f t="shared" si="1"/>
        <v>229</v>
      </c>
      <c r="I13" s="589"/>
      <c r="J13" s="589">
        <v>9</v>
      </c>
      <c r="K13" s="577">
        <v>6259</v>
      </c>
      <c r="L13" s="577">
        <v>3345712</v>
      </c>
      <c r="M13" s="598">
        <f t="shared" si="2"/>
        <v>3351980</v>
      </c>
      <c r="N13" s="601">
        <f t="shared" si="3"/>
        <v>0.040316996941419825</v>
      </c>
      <c r="O13" s="6"/>
      <c r="Q13" s="20"/>
    </row>
    <row r="14" spans="1:17" ht="12" customHeight="1">
      <c r="A14" s="1270">
        <v>2001</v>
      </c>
      <c r="B14" s="1271"/>
      <c r="C14" s="577">
        <f t="shared" si="0"/>
        <v>3462851</v>
      </c>
      <c r="D14" s="579">
        <v>23</v>
      </c>
      <c r="E14" s="582">
        <v>38</v>
      </c>
      <c r="F14" s="582">
        <v>180</v>
      </c>
      <c r="G14" s="582"/>
      <c r="H14" s="586">
        <f t="shared" si="1"/>
        <v>241</v>
      </c>
      <c r="I14" s="589"/>
      <c r="J14" s="589">
        <v>9</v>
      </c>
      <c r="K14" s="577">
        <v>6752</v>
      </c>
      <c r="L14" s="577">
        <v>3455849</v>
      </c>
      <c r="M14" s="598">
        <f t="shared" si="2"/>
        <v>3462610</v>
      </c>
      <c r="N14" s="601">
        <f t="shared" si="3"/>
        <v>0.0319511292862442</v>
      </c>
      <c r="O14" s="6"/>
      <c r="Q14" s="20"/>
    </row>
    <row r="15" spans="1:17" ht="12" customHeight="1">
      <c r="A15" s="1270">
        <v>2002</v>
      </c>
      <c r="B15" s="1271"/>
      <c r="C15" s="577">
        <f t="shared" si="0"/>
        <v>3614484</v>
      </c>
      <c r="D15" s="579">
        <v>32</v>
      </c>
      <c r="E15" s="582">
        <v>41</v>
      </c>
      <c r="F15" s="582">
        <v>188</v>
      </c>
      <c r="G15" s="582"/>
      <c r="H15" s="586">
        <f t="shared" si="1"/>
        <v>261</v>
      </c>
      <c r="I15" s="589"/>
      <c r="J15" s="589">
        <v>11</v>
      </c>
      <c r="K15" s="577">
        <v>7166</v>
      </c>
      <c r="L15" s="577">
        <v>3607046</v>
      </c>
      <c r="M15" s="598">
        <f t="shared" si="2"/>
        <v>3614223</v>
      </c>
      <c r="N15" s="601">
        <f t="shared" si="3"/>
        <v>0.0419514929378578</v>
      </c>
      <c r="O15" s="6"/>
      <c r="Q15" s="20"/>
    </row>
    <row r="16" spans="1:17" ht="12" customHeight="1">
      <c r="A16" s="1270">
        <v>2003</v>
      </c>
      <c r="B16" s="1271"/>
      <c r="C16" s="577">
        <f t="shared" si="0"/>
        <v>3727266</v>
      </c>
      <c r="D16" s="579">
        <v>37</v>
      </c>
      <c r="E16" s="582">
        <v>35</v>
      </c>
      <c r="F16" s="582">
        <v>175</v>
      </c>
      <c r="G16" s="582"/>
      <c r="H16" s="586">
        <f t="shared" si="1"/>
        <v>247</v>
      </c>
      <c r="I16" s="589"/>
      <c r="J16" s="589">
        <v>12</v>
      </c>
      <c r="K16" s="577">
        <v>7598</v>
      </c>
      <c r="L16" s="577">
        <v>3719409</v>
      </c>
      <c r="M16" s="598">
        <f t="shared" si="2"/>
        <v>3727019</v>
      </c>
      <c r="N16" s="601">
        <f t="shared" si="3"/>
        <v>0.030258639979008742</v>
      </c>
      <c r="O16" s="6"/>
      <c r="Q16" s="20"/>
    </row>
    <row r="17" spans="1:17" ht="12" customHeight="1">
      <c r="A17" s="1270">
        <v>2004</v>
      </c>
      <c r="B17" s="1271"/>
      <c r="C17" s="577">
        <f t="shared" si="0"/>
        <v>3860515</v>
      </c>
      <c r="D17" s="579">
        <v>37</v>
      </c>
      <c r="E17" s="582">
        <v>33</v>
      </c>
      <c r="F17" s="582">
        <v>175</v>
      </c>
      <c r="G17" s="582"/>
      <c r="H17" s="586">
        <f t="shared" si="1"/>
        <v>245</v>
      </c>
      <c r="I17" s="589"/>
      <c r="J17" s="589">
        <v>19</v>
      </c>
      <c r="K17" s="577">
        <v>8120</v>
      </c>
      <c r="L17" s="577">
        <v>3852131</v>
      </c>
      <c r="M17" s="598">
        <f t="shared" si="2"/>
        <v>3860270</v>
      </c>
      <c r="N17" s="601">
        <f t="shared" si="3"/>
        <v>0.0345158612257691</v>
      </c>
      <c r="O17" s="6"/>
      <c r="Q17" s="20"/>
    </row>
    <row r="18" spans="1:17" ht="12" customHeight="1">
      <c r="A18" s="1270">
        <v>2005</v>
      </c>
      <c r="B18" s="1271"/>
      <c r="C18" s="577">
        <f t="shared" si="0"/>
        <v>3977100</v>
      </c>
      <c r="D18" s="579">
        <v>36</v>
      </c>
      <c r="E18" s="582">
        <v>36</v>
      </c>
      <c r="F18" s="582">
        <v>172</v>
      </c>
      <c r="G18" s="582"/>
      <c r="H18" s="586">
        <f t="shared" si="1"/>
        <v>244</v>
      </c>
      <c r="I18" s="589"/>
      <c r="J18" s="589">
        <v>18</v>
      </c>
      <c r="K18" s="577">
        <v>8727</v>
      </c>
      <c r="L18" s="577">
        <v>3968111</v>
      </c>
      <c r="M18" s="598">
        <f t="shared" si="2"/>
        <v>3976856</v>
      </c>
      <c r="N18" s="601">
        <f t="shared" si="3"/>
        <v>0.02931407306831611</v>
      </c>
      <c r="O18" s="6"/>
      <c r="Q18" s="20"/>
    </row>
    <row r="19" spans="1:17" ht="12" customHeight="1">
      <c r="A19" s="1270">
        <v>2006</v>
      </c>
      <c r="B19" s="1271"/>
      <c r="C19" s="577">
        <f t="shared" si="0"/>
        <v>4165274</v>
      </c>
      <c r="D19" s="579">
        <v>38</v>
      </c>
      <c r="E19" s="582">
        <v>36</v>
      </c>
      <c r="F19" s="582">
        <v>163</v>
      </c>
      <c r="G19" s="582"/>
      <c r="H19" s="586">
        <f t="shared" si="1"/>
        <v>237</v>
      </c>
      <c r="I19" s="589"/>
      <c r="J19" s="589">
        <v>22</v>
      </c>
      <c r="K19" s="577">
        <v>9454</v>
      </c>
      <c r="L19" s="577">
        <v>4155561</v>
      </c>
      <c r="M19" s="598">
        <f t="shared" si="2"/>
        <v>4165037</v>
      </c>
      <c r="N19" s="601">
        <f t="shared" si="3"/>
        <v>0.04517685991365754</v>
      </c>
      <c r="O19" s="6"/>
      <c r="Q19" s="20"/>
    </row>
    <row r="20" spans="1:17" ht="12" customHeight="1">
      <c r="A20" s="1270">
        <v>2007</v>
      </c>
      <c r="B20" s="1271"/>
      <c r="C20" s="577">
        <f t="shared" si="0"/>
        <v>4359862</v>
      </c>
      <c r="D20" s="579">
        <v>43</v>
      </c>
      <c r="E20" s="582">
        <v>34</v>
      </c>
      <c r="F20" s="582">
        <v>173</v>
      </c>
      <c r="G20" s="582"/>
      <c r="H20" s="586">
        <f t="shared" si="1"/>
        <v>250</v>
      </c>
      <c r="I20" s="589"/>
      <c r="J20" s="589">
        <v>25</v>
      </c>
      <c r="K20" s="577">
        <v>10314</v>
      </c>
      <c r="L20" s="577">
        <v>4349273</v>
      </c>
      <c r="M20" s="598">
        <f t="shared" si="2"/>
        <v>4359612</v>
      </c>
      <c r="N20" s="601">
        <f t="shared" si="3"/>
        <v>0.04463168788369907</v>
      </c>
      <c r="O20" s="6"/>
      <c r="Q20" s="20"/>
    </row>
    <row r="21" spans="1:17" ht="12" customHeight="1">
      <c r="A21" s="1270">
        <v>2008</v>
      </c>
      <c r="B21" s="1271"/>
      <c r="C21" s="577">
        <f t="shared" si="0"/>
        <v>4624792</v>
      </c>
      <c r="D21" s="579">
        <v>44</v>
      </c>
      <c r="E21" s="582">
        <v>34</v>
      </c>
      <c r="F21" s="582">
        <v>180</v>
      </c>
      <c r="G21" s="582"/>
      <c r="H21" s="586">
        <f t="shared" si="1"/>
        <v>258</v>
      </c>
      <c r="I21" s="591"/>
      <c r="J21" s="589">
        <v>24</v>
      </c>
      <c r="K21" s="577">
        <v>11422</v>
      </c>
      <c r="L21" s="577">
        <v>4613088</v>
      </c>
      <c r="M21" s="598">
        <f t="shared" si="2"/>
        <v>4624534</v>
      </c>
      <c r="N21" s="601">
        <f t="shared" si="3"/>
        <v>0.05728473842715521</v>
      </c>
      <c r="O21" s="6"/>
      <c r="Q21" s="20"/>
    </row>
    <row r="22" spans="1:17" ht="12" customHeight="1">
      <c r="A22" s="1270">
        <v>2009</v>
      </c>
      <c r="B22" s="1271"/>
      <c r="C22" s="577">
        <f t="shared" si="0"/>
        <v>4878964</v>
      </c>
      <c r="D22" s="579">
        <v>42</v>
      </c>
      <c r="E22" s="582">
        <v>40</v>
      </c>
      <c r="F22" s="582">
        <v>187</v>
      </c>
      <c r="G22" s="582"/>
      <c r="H22" s="586">
        <f t="shared" si="1"/>
        <v>269</v>
      </c>
      <c r="I22" s="592"/>
      <c r="J22" s="589">
        <v>22</v>
      </c>
      <c r="K22" s="577">
        <v>12368</v>
      </c>
      <c r="L22" s="577">
        <v>4866305</v>
      </c>
      <c r="M22" s="598">
        <f t="shared" si="2"/>
        <v>4878695</v>
      </c>
      <c r="N22" s="601">
        <f t="shared" si="3"/>
        <v>0.05209548584494577</v>
      </c>
      <c r="O22" s="6"/>
      <c r="Q22" s="20"/>
    </row>
    <row r="23" spans="1:17" ht="12" customHeight="1">
      <c r="A23" s="1270">
        <v>2010</v>
      </c>
      <c r="B23" s="1271"/>
      <c r="C23" s="577">
        <f t="shared" si="0"/>
        <v>5170896</v>
      </c>
      <c r="D23" s="581">
        <v>48</v>
      </c>
      <c r="E23" s="584">
        <v>39</v>
      </c>
      <c r="F23" s="584">
        <v>171</v>
      </c>
      <c r="G23" s="584"/>
      <c r="H23" s="586">
        <f t="shared" si="1"/>
        <v>258</v>
      </c>
      <c r="I23" s="593"/>
      <c r="J23" s="593">
        <v>23</v>
      </c>
      <c r="K23" s="594">
        <v>13331</v>
      </c>
      <c r="L23" s="594">
        <v>5157284</v>
      </c>
      <c r="M23" s="598">
        <f t="shared" si="2"/>
        <v>5170638</v>
      </c>
      <c r="N23" s="601">
        <f t="shared" si="3"/>
        <v>0.05645675333636569</v>
      </c>
      <c r="O23" s="6"/>
      <c r="Q23" s="20"/>
    </row>
    <row r="24" spans="1:17" ht="12" customHeight="1">
      <c r="A24" s="1270">
        <v>2011</v>
      </c>
      <c r="B24" s="1271"/>
      <c r="C24" s="577">
        <f t="shared" si="0"/>
        <v>5495222</v>
      </c>
      <c r="D24" s="579">
        <v>48</v>
      </c>
      <c r="E24" s="582">
        <v>45</v>
      </c>
      <c r="F24" s="582">
        <v>168</v>
      </c>
      <c r="G24" s="582"/>
      <c r="H24" s="586">
        <f t="shared" si="1"/>
        <v>261</v>
      </c>
      <c r="I24" s="591">
        <v>1</v>
      </c>
      <c r="J24" s="589">
        <v>24</v>
      </c>
      <c r="K24" s="577">
        <v>14409</v>
      </c>
      <c r="L24" s="577">
        <v>5480527</v>
      </c>
      <c r="M24" s="598">
        <f>SUM(J24,K24,L24,I24)</f>
        <v>5494961</v>
      </c>
      <c r="N24" s="601">
        <f t="shared" si="3"/>
        <v>0.05901963560343877</v>
      </c>
      <c r="O24" s="20"/>
      <c r="Q24" s="20"/>
    </row>
    <row r="25" spans="1:17" ht="12" customHeight="1">
      <c r="A25" s="1270">
        <v>2012</v>
      </c>
      <c r="B25" s="1271"/>
      <c r="C25" s="577">
        <f t="shared" si="0"/>
        <v>5834887</v>
      </c>
      <c r="D25" s="581">
        <v>52</v>
      </c>
      <c r="E25" s="584">
        <v>46</v>
      </c>
      <c r="F25" s="584">
        <v>164</v>
      </c>
      <c r="G25" s="584"/>
      <c r="H25" s="586">
        <f t="shared" si="1"/>
        <v>262</v>
      </c>
      <c r="I25" s="593">
        <v>1</v>
      </c>
      <c r="J25" s="593">
        <v>19</v>
      </c>
      <c r="K25" s="594">
        <v>15886</v>
      </c>
      <c r="L25" s="594">
        <v>5818719</v>
      </c>
      <c r="M25" s="598">
        <f>SUM(J25,K25,L25,I25)</f>
        <v>5834625</v>
      </c>
      <c r="N25" s="601">
        <f t="shared" si="3"/>
        <v>0.05821278115583044</v>
      </c>
      <c r="O25" s="20"/>
      <c r="Q25" s="20"/>
    </row>
    <row r="26" spans="1:17" ht="12" customHeight="1">
      <c r="A26" s="1270">
        <v>2013</v>
      </c>
      <c r="B26" s="1271"/>
      <c r="C26" s="577">
        <f t="shared" si="0"/>
        <v>6156315</v>
      </c>
      <c r="D26" s="581">
        <v>57</v>
      </c>
      <c r="E26" s="584">
        <v>57</v>
      </c>
      <c r="F26" s="584">
        <v>166</v>
      </c>
      <c r="G26" s="584"/>
      <c r="H26" s="588">
        <f t="shared" si="1"/>
        <v>280</v>
      </c>
      <c r="I26" s="593">
        <v>1</v>
      </c>
      <c r="J26" s="593">
        <v>19</v>
      </c>
      <c r="K26" s="594">
        <v>16943</v>
      </c>
      <c r="L26" s="594">
        <v>6139072</v>
      </c>
      <c r="M26" s="598">
        <f>SUM(J26,K26,L26,I26)</f>
        <v>6156035</v>
      </c>
      <c r="N26" s="603">
        <f t="shared" si="3"/>
        <v>0.05221110355789137</v>
      </c>
      <c r="O26" s="20"/>
      <c r="Q26" s="20"/>
    </row>
    <row r="27" spans="1:17" ht="12" customHeight="1">
      <c r="A27" s="1270">
        <v>2014</v>
      </c>
      <c r="B27" s="1271"/>
      <c r="C27" s="577">
        <f>SUM(H27,M27)</f>
        <v>6432742</v>
      </c>
      <c r="D27" s="581">
        <v>67</v>
      </c>
      <c r="E27" s="1137">
        <v>60</v>
      </c>
      <c r="F27" s="584">
        <v>172.00000000000003</v>
      </c>
      <c r="G27" s="584"/>
      <c r="H27" s="588">
        <f>SUM(D27,E27,F27,G27)</f>
        <v>299</v>
      </c>
      <c r="I27" s="593"/>
      <c r="J27" s="593">
        <v>16</v>
      </c>
      <c r="K27" s="594">
        <v>17700.000000000004</v>
      </c>
      <c r="L27" s="594">
        <v>6414727</v>
      </c>
      <c r="M27" s="598">
        <f>SUM(J27,K27,L27,I27)</f>
        <v>6432443</v>
      </c>
      <c r="N27" s="603">
        <f>+(C27-C26)/C27</f>
        <v>0.04297187731141712</v>
      </c>
      <c r="O27" s="20"/>
      <c r="Q27" s="20"/>
    </row>
    <row r="28" spans="1:17" ht="13.5" thickBot="1">
      <c r="A28" s="1274"/>
      <c r="B28" s="1275"/>
      <c r="C28" s="135"/>
      <c r="D28" s="133"/>
      <c r="E28" s="131"/>
      <c r="F28" s="131"/>
      <c r="G28" s="131"/>
      <c r="H28" s="585"/>
      <c r="I28" s="132"/>
      <c r="J28" s="132"/>
      <c r="K28" s="135"/>
      <c r="L28" s="135"/>
      <c r="M28" s="136"/>
      <c r="N28" s="600"/>
      <c r="O28" s="6"/>
      <c r="Q28" s="6"/>
    </row>
    <row r="29" spans="1:15" ht="12.75">
      <c r="A29" s="1276" t="s">
        <v>311</v>
      </c>
      <c r="B29" s="1277"/>
      <c r="C29" s="595">
        <f>(C27/C26)-1</f>
        <v>0.04490137363016666</v>
      </c>
      <c r="D29" s="134"/>
      <c r="E29" s="134"/>
      <c r="F29" s="134"/>
      <c r="G29" s="99"/>
      <c r="H29" s="595">
        <f>(H27/H26)-1</f>
        <v>0.06785714285714284</v>
      </c>
      <c r="I29" s="108"/>
      <c r="J29" s="134"/>
      <c r="K29" s="134"/>
      <c r="L29" s="134"/>
      <c r="M29" s="595">
        <f>(M27/M26)-1</f>
        <v>0.04490032951404599</v>
      </c>
      <c r="N29" s="22"/>
      <c r="O29" s="6"/>
    </row>
    <row r="30" spans="1:15" ht="12.75">
      <c r="A30" s="1278" t="s">
        <v>312</v>
      </c>
      <c r="B30" s="1279"/>
      <c r="C30" s="596">
        <f>+(C27/C22)^(1/5)-1</f>
        <v>0.056850857091072404</v>
      </c>
      <c r="D30" s="108"/>
      <c r="E30" s="108"/>
      <c r="F30" s="108"/>
      <c r="G30" s="108"/>
      <c r="H30" s="596">
        <f>+(H27/H22)^(1/5)-1</f>
        <v>0.021371609076412668</v>
      </c>
      <c r="I30" s="108"/>
      <c r="J30" s="108"/>
      <c r="K30" s="108"/>
      <c r="L30" s="108"/>
      <c r="M30" s="596">
        <f>+(M27/M22)^(1/5)-1</f>
        <v>0.05685268631949958</v>
      </c>
      <c r="N30" s="22"/>
      <c r="O30" s="6"/>
    </row>
    <row r="31" spans="1:15" ht="12.75">
      <c r="A31" s="1272" t="s">
        <v>317</v>
      </c>
      <c r="B31" s="1273"/>
      <c r="C31" s="596">
        <f>+C27/C17-1</f>
        <v>0.6662911554546478</v>
      </c>
      <c r="D31" s="99"/>
      <c r="E31" s="99"/>
      <c r="F31" s="99"/>
      <c r="G31" s="99"/>
      <c r="H31" s="596">
        <f>+H27/H17-1</f>
        <v>0.2204081632653061</v>
      </c>
      <c r="I31" s="108"/>
      <c r="J31" s="99"/>
      <c r="K31" s="99"/>
      <c r="L31" s="99"/>
      <c r="M31" s="596">
        <f>+M27/M17-1</f>
        <v>0.6663194543386861</v>
      </c>
      <c r="N31" s="22"/>
      <c r="O31" s="6"/>
    </row>
    <row r="32" spans="1:15" ht="13.5" thickBot="1">
      <c r="A32" s="1268" t="s">
        <v>275</v>
      </c>
      <c r="B32" s="1269"/>
      <c r="C32" s="597">
        <f>+(C27/C17)^(1/10)-1</f>
        <v>0.05238606524421763</v>
      </c>
      <c r="D32" s="100"/>
      <c r="E32" s="604" t="s">
        <v>265</v>
      </c>
      <c r="F32" s="100"/>
      <c r="G32" s="100"/>
      <c r="H32" s="597">
        <f>+(H27/H17)^(1/10)-1</f>
        <v>0.02011823402024504</v>
      </c>
      <c r="I32" s="128"/>
      <c r="J32" s="100"/>
      <c r="K32" s="100"/>
      <c r="L32" s="100"/>
      <c r="M32" s="597">
        <f>+(M27/M17)^(1/10)-1</f>
        <v>0.0523878525143191</v>
      </c>
      <c r="N32" s="22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21" t="s">
        <v>56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2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2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4" ht="12.75">
      <c r="A37" s="2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40" spans="17:28" ht="12.75">
      <c r="Q40" s="81"/>
      <c r="R40" s="3" t="s">
        <v>21</v>
      </c>
      <c r="S40" s="3" t="s">
        <v>22</v>
      </c>
      <c r="T40" s="3" t="s">
        <v>23</v>
      </c>
      <c r="U40" s="3" t="s">
        <v>24</v>
      </c>
      <c r="V40" s="3" t="s">
        <v>38</v>
      </c>
      <c r="W40" s="139"/>
      <c r="X40" s="3" t="s">
        <v>21</v>
      </c>
      <c r="Y40" s="3" t="s">
        <v>22</v>
      </c>
      <c r="Z40" s="3" t="s">
        <v>23</v>
      </c>
      <c r="AA40" s="3" t="s">
        <v>24</v>
      </c>
      <c r="AB40" s="3" t="s">
        <v>39</v>
      </c>
    </row>
    <row r="41" spans="17:28" ht="12.75">
      <c r="Q41" s="96">
        <v>1998</v>
      </c>
      <c r="R41" s="97">
        <f aca="true" t="shared" si="4" ref="R41:U42">D11</f>
        <v>17</v>
      </c>
      <c r="S41" s="97">
        <f t="shared" si="4"/>
        <v>37</v>
      </c>
      <c r="T41" s="97">
        <f t="shared" si="4"/>
        <v>163</v>
      </c>
      <c r="U41" s="97">
        <f t="shared" si="4"/>
        <v>1</v>
      </c>
      <c r="V41" s="97">
        <f>SUM(R41:U41)</f>
        <v>218</v>
      </c>
      <c r="W41" s="140"/>
      <c r="X41" s="97"/>
      <c r="Y41" s="97">
        <f aca="true" t="shared" si="5" ref="Y41:Y56">J11</f>
        <v>13</v>
      </c>
      <c r="Z41" s="97">
        <f aca="true" t="shared" si="6" ref="Z41:Z56">K11</f>
        <v>5372</v>
      </c>
      <c r="AA41" s="97">
        <f aca="true" t="shared" si="7" ref="AA41:AA56">L11</f>
        <v>3051717</v>
      </c>
      <c r="AB41" s="97">
        <f>SUM(Y41:AA41)</f>
        <v>3057102</v>
      </c>
    </row>
    <row r="42" spans="17:28" ht="12.75">
      <c r="Q42" s="96">
        <v>1999</v>
      </c>
      <c r="R42" s="97">
        <f t="shared" si="4"/>
        <v>13</v>
      </c>
      <c r="S42" s="97">
        <f t="shared" si="4"/>
        <v>41</v>
      </c>
      <c r="T42" s="97">
        <f t="shared" si="4"/>
        <v>168</v>
      </c>
      <c r="U42" s="97">
        <f t="shared" si="4"/>
        <v>1</v>
      </c>
      <c r="V42" s="97">
        <f aca="true" t="shared" si="8" ref="V42:V49">SUM(R42:U42)</f>
        <v>223</v>
      </c>
      <c r="W42" s="140"/>
      <c r="X42" s="97"/>
      <c r="Y42" s="97">
        <f t="shared" si="5"/>
        <v>20</v>
      </c>
      <c r="Z42" s="97">
        <f t="shared" si="6"/>
        <v>5774</v>
      </c>
      <c r="AA42" s="97">
        <f t="shared" si="7"/>
        <v>3211041</v>
      </c>
      <c r="AB42" s="97">
        <f aca="true" t="shared" si="9" ref="AB42:AB49">SUM(Y42:AA42)</f>
        <v>3216835</v>
      </c>
    </row>
    <row r="43" spans="17:28" ht="12.75">
      <c r="Q43" s="96">
        <v>2000</v>
      </c>
      <c r="R43" s="97">
        <f aca="true" t="shared" si="10" ref="R43:R56">D13</f>
        <v>15</v>
      </c>
      <c r="S43" s="97">
        <f aca="true" t="shared" si="11" ref="S43:S56">E13</f>
        <v>40</v>
      </c>
      <c r="T43" s="97">
        <f aca="true" t="shared" si="12" ref="T43:T56">F13</f>
        <v>174</v>
      </c>
      <c r="U43" s="93"/>
      <c r="V43" s="97">
        <f t="shared" si="8"/>
        <v>229</v>
      </c>
      <c r="W43" s="140"/>
      <c r="X43" s="97"/>
      <c r="Y43" s="97">
        <f t="shared" si="5"/>
        <v>9</v>
      </c>
      <c r="Z43" s="97">
        <f t="shared" si="6"/>
        <v>6259</v>
      </c>
      <c r="AA43" s="97">
        <f t="shared" si="7"/>
        <v>3345712</v>
      </c>
      <c r="AB43" s="97">
        <f t="shared" si="9"/>
        <v>3351980</v>
      </c>
    </row>
    <row r="44" spans="17:28" ht="12.75">
      <c r="Q44" s="96">
        <v>2001</v>
      </c>
      <c r="R44" s="97">
        <f t="shared" si="10"/>
        <v>23</v>
      </c>
      <c r="S44" s="97">
        <f t="shared" si="11"/>
        <v>38</v>
      </c>
      <c r="T44" s="97">
        <f t="shared" si="12"/>
        <v>180</v>
      </c>
      <c r="U44" s="93"/>
      <c r="V44" s="97">
        <f t="shared" si="8"/>
        <v>241</v>
      </c>
      <c r="W44" s="140"/>
      <c r="X44" s="97"/>
      <c r="Y44" s="97">
        <f t="shared" si="5"/>
        <v>9</v>
      </c>
      <c r="Z44" s="97">
        <f t="shared" si="6"/>
        <v>6752</v>
      </c>
      <c r="AA44" s="97">
        <f t="shared" si="7"/>
        <v>3455849</v>
      </c>
      <c r="AB44" s="97">
        <f t="shared" si="9"/>
        <v>3462610</v>
      </c>
    </row>
    <row r="45" spans="17:28" ht="12.75">
      <c r="Q45" s="98">
        <v>2002</v>
      </c>
      <c r="R45" s="97">
        <f t="shared" si="10"/>
        <v>32</v>
      </c>
      <c r="S45" s="97">
        <f t="shared" si="11"/>
        <v>41</v>
      </c>
      <c r="T45" s="97">
        <f t="shared" si="12"/>
        <v>188</v>
      </c>
      <c r="U45" s="93"/>
      <c r="V45" s="97">
        <f t="shared" si="8"/>
        <v>261</v>
      </c>
      <c r="W45" s="140"/>
      <c r="X45" s="97"/>
      <c r="Y45" s="97">
        <f t="shared" si="5"/>
        <v>11</v>
      </c>
      <c r="Z45" s="97">
        <f t="shared" si="6"/>
        <v>7166</v>
      </c>
      <c r="AA45" s="97">
        <f t="shared" si="7"/>
        <v>3607046</v>
      </c>
      <c r="AB45" s="97">
        <f t="shared" si="9"/>
        <v>3614223</v>
      </c>
    </row>
    <row r="46" spans="17:28" ht="12.75">
      <c r="Q46" s="98">
        <v>2003</v>
      </c>
      <c r="R46" s="97">
        <f t="shared" si="10"/>
        <v>37</v>
      </c>
      <c r="S46" s="97">
        <f t="shared" si="11"/>
        <v>35</v>
      </c>
      <c r="T46" s="97">
        <f t="shared" si="12"/>
        <v>175</v>
      </c>
      <c r="U46" s="93"/>
      <c r="V46" s="97">
        <f t="shared" si="8"/>
        <v>247</v>
      </c>
      <c r="W46" s="140"/>
      <c r="X46" s="97"/>
      <c r="Y46" s="97">
        <f t="shared" si="5"/>
        <v>12</v>
      </c>
      <c r="Z46" s="97">
        <f t="shared" si="6"/>
        <v>7598</v>
      </c>
      <c r="AA46" s="97">
        <f t="shared" si="7"/>
        <v>3719409</v>
      </c>
      <c r="AB46" s="97">
        <f t="shared" si="9"/>
        <v>3727019</v>
      </c>
    </row>
    <row r="47" spans="17:28" ht="12.75">
      <c r="Q47" s="98">
        <v>2004</v>
      </c>
      <c r="R47" s="97">
        <f t="shared" si="10"/>
        <v>37</v>
      </c>
      <c r="S47" s="97">
        <f t="shared" si="11"/>
        <v>33</v>
      </c>
      <c r="T47" s="97">
        <f t="shared" si="12"/>
        <v>175</v>
      </c>
      <c r="U47" s="93"/>
      <c r="V47" s="97">
        <f t="shared" si="8"/>
        <v>245</v>
      </c>
      <c r="W47" s="140"/>
      <c r="X47" s="97"/>
      <c r="Y47" s="97">
        <f t="shared" si="5"/>
        <v>19</v>
      </c>
      <c r="Z47" s="97">
        <f t="shared" si="6"/>
        <v>8120</v>
      </c>
      <c r="AA47" s="97">
        <f t="shared" si="7"/>
        <v>3852131</v>
      </c>
      <c r="AB47" s="97">
        <f t="shared" si="9"/>
        <v>3860270</v>
      </c>
    </row>
    <row r="48" spans="17:28" ht="12.75">
      <c r="Q48" s="98">
        <v>2005</v>
      </c>
      <c r="R48" s="97">
        <f t="shared" si="10"/>
        <v>36</v>
      </c>
      <c r="S48" s="97">
        <f t="shared" si="11"/>
        <v>36</v>
      </c>
      <c r="T48" s="97">
        <f t="shared" si="12"/>
        <v>172</v>
      </c>
      <c r="U48" s="93"/>
      <c r="V48" s="97">
        <f t="shared" si="8"/>
        <v>244</v>
      </c>
      <c r="W48" s="140"/>
      <c r="X48" s="97"/>
      <c r="Y48" s="97">
        <f t="shared" si="5"/>
        <v>18</v>
      </c>
      <c r="Z48" s="97">
        <f t="shared" si="6"/>
        <v>8727</v>
      </c>
      <c r="AA48" s="97">
        <f t="shared" si="7"/>
        <v>3968111</v>
      </c>
      <c r="AB48" s="97">
        <f t="shared" si="9"/>
        <v>3976856</v>
      </c>
    </row>
    <row r="49" spans="17:28" ht="12.75">
      <c r="Q49" s="98">
        <v>2006</v>
      </c>
      <c r="R49" s="97">
        <f t="shared" si="10"/>
        <v>38</v>
      </c>
      <c r="S49" s="97">
        <f t="shared" si="11"/>
        <v>36</v>
      </c>
      <c r="T49" s="97">
        <f t="shared" si="12"/>
        <v>163</v>
      </c>
      <c r="U49" s="93"/>
      <c r="V49" s="97">
        <f t="shared" si="8"/>
        <v>237</v>
      </c>
      <c r="W49" s="140"/>
      <c r="X49" s="97"/>
      <c r="Y49" s="97">
        <f t="shared" si="5"/>
        <v>22</v>
      </c>
      <c r="Z49" s="97">
        <f t="shared" si="6"/>
        <v>9454</v>
      </c>
      <c r="AA49" s="97">
        <f t="shared" si="7"/>
        <v>4155561</v>
      </c>
      <c r="AB49" s="97">
        <f t="shared" si="9"/>
        <v>4165037</v>
      </c>
    </row>
    <row r="50" spans="17:28" ht="12.75">
      <c r="Q50" s="98">
        <v>2007</v>
      </c>
      <c r="R50" s="97">
        <f t="shared" si="10"/>
        <v>43</v>
      </c>
      <c r="S50" s="97">
        <f t="shared" si="11"/>
        <v>34</v>
      </c>
      <c r="T50" s="97">
        <f t="shared" si="12"/>
        <v>173</v>
      </c>
      <c r="U50" s="93"/>
      <c r="V50" s="97">
        <f aca="true" t="shared" si="13" ref="V50:V55">SUM(R50:U50)</f>
        <v>250</v>
      </c>
      <c r="W50" s="140"/>
      <c r="X50" s="97"/>
      <c r="Y50" s="97">
        <f t="shared" si="5"/>
        <v>25</v>
      </c>
      <c r="Z50" s="97">
        <f t="shared" si="6"/>
        <v>10314</v>
      </c>
      <c r="AA50" s="97">
        <f t="shared" si="7"/>
        <v>4349273</v>
      </c>
      <c r="AB50" s="97">
        <f>SUM(Y50:AA50)</f>
        <v>4359612</v>
      </c>
    </row>
    <row r="51" spans="17:28" ht="12.75">
      <c r="Q51" s="98">
        <v>2008</v>
      </c>
      <c r="R51" s="97">
        <f t="shared" si="10"/>
        <v>44</v>
      </c>
      <c r="S51" s="97">
        <f t="shared" si="11"/>
        <v>34</v>
      </c>
      <c r="T51" s="97">
        <f t="shared" si="12"/>
        <v>180</v>
      </c>
      <c r="U51" s="93"/>
      <c r="V51" s="97">
        <f t="shared" si="13"/>
        <v>258</v>
      </c>
      <c r="W51" s="140"/>
      <c r="X51" s="97"/>
      <c r="Y51" s="97">
        <f t="shared" si="5"/>
        <v>24</v>
      </c>
      <c r="Z51" s="97">
        <f t="shared" si="6"/>
        <v>11422</v>
      </c>
      <c r="AA51" s="97">
        <f t="shared" si="7"/>
        <v>4613088</v>
      </c>
      <c r="AB51" s="97">
        <f>SUM(Y51:AA51)</f>
        <v>4624534</v>
      </c>
    </row>
    <row r="52" spans="17:28" ht="12.75">
      <c r="Q52" s="98">
        <v>2009</v>
      </c>
      <c r="R52" s="97">
        <f t="shared" si="10"/>
        <v>42</v>
      </c>
      <c r="S52" s="97">
        <f t="shared" si="11"/>
        <v>40</v>
      </c>
      <c r="T52" s="97">
        <f t="shared" si="12"/>
        <v>187</v>
      </c>
      <c r="U52" s="93"/>
      <c r="V52" s="97">
        <f t="shared" si="13"/>
        <v>269</v>
      </c>
      <c r="W52" s="140"/>
      <c r="X52" s="97"/>
      <c r="Y52" s="97">
        <f t="shared" si="5"/>
        <v>22</v>
      </c>
      <c r="Z52" s="97">
        <f t="shared" si="6"/>
        <v>12368</v>
      </c>
      <c r="AA52" s="97">
        <f t="shared" si="7"/>
        <v>4866305</v>
      </c>
      <c r="AB52" s="97">
        <f>SUM(Y52:AA52)</f>
        <v>4878695</v>
      </c>
    </row>
    <row r="53" spans="17:28" ht="12.75">
      <c r="Q53" s="98">
        <v>2010</v>
      </c>
      <c r="R53" s="97">
        <f t="shared" si="10"/>
        <v>48</v>
      </c>
      <c r="S53" s="97">
        <f t="shared" si="11"/>
        <v>39</v>
      </c>
      <c r="T53" s="97">
        <f t="shared" si="12"/>
        <v>171</v>
      </c>
      <c r="U53" s="93"/>
      <c r="V53" s="97">
        <f t="shared" si="13"/>
        <v>258</v>
      </c>
      <c r="W53" s="140"/>
      <c r="X53" s="97"/>
      <c r="Y53" s="97">
        <f t="shared" si="5"/>
        <v>23</v>
      </c>
      <c r="Z53" s="97">
        <f t="shared" si="6"/>
        <v>13331</v>
      </c>
      <c r="AA53" s="97">
        <f t="shared" si="7"/>
        <v>5157284</v>
      </c>
      <c r="AB53" s="97">
        <f>SUM(Y53:AA53)</f>
        <v>5170638</v>
      </c>
    </row>
    <row r="54" spans="17:28" ht="12.75">
      <c r="Q54" s="98">
        <v>2011</v>
      </c>
      <c r="R54" s="97">
        <f t="shared" si="10"/>
        <v>48</v>
      </c>
      <c r="S54" s="97">
        <f t="shared" si="11"/>
        <v>45</v>
      </c>
      <c r="T54" s="97">
        <f t="shared" si="12"/>
        <v>168</v>
      </c>
      <c r="U54" s="93"/>
      <c r="V54" s="97">
        <f t="shared" si="13"/>
        <v>261</v>
      </c>
      <c r="W54" s="140"/>
      <c r="X54" s="97">
        <f>I24</f>
        <v>1</v>
      </c>
      <c r="Y54" s="97">
        <f t="shared" si="5"/>
        <v>24</v>
      </c>
      <c r="Z54" s="97">
        <f t="shared" si="6"/>
        <v>14409</v>
      </c>
      <c r="AA54" s="97">
        <f t="shared" si="7"/>
        <v>5480527</v>
      </c>
      <c r="AB54" s="97">
        <f>SUM(X54:AA54)</f>
        <v>5494961</v>
      </c>
    </row>
    <row r="55" spans="17:28" ht="12.75">
      <c r="Q55" s="98">
        <v>2012</v>
      </c>
      <c r="R55" s="97">
        <f t="shared" si="10"/>
        <v>52</v>
      </c>
      <c r="S55" s="97">
        <f t="shared" si="11"/>
        <v>46</v>
      </c>
      <c r="T55" s="97">
        <f t="shared" si="12"/>
        <v>164</v>
      </c>
      <c r="U55" s="93"/>
      <c r="V55" s="97">
        <f t="shared" si="13"/>
        <v>262</v>
      </c>
      <c r="X55" s="97">
        <f>I25</f>
        <v>1</v>
      </c>
      <c r="Y55" s="97">
        <f t="shared" si="5"/>
        <v>19</v>
      </c>
      <c r="Z55" s="97">
        <f t="shared" si="6"/>
        <v>15886</v>
      </c>
      <c r="AA55" s="97">
        <f t="shared" si="7"/>
        <v>5818719</v>
      </c>
      <c r="AB55" s="97">
        <f>SUM(X55:AA55)</f>
        <v>5834625</v>
      </c>
    </row>
    <row r="56" spans="17:28" ht="12.75">
      <c r="Q56" s="98">
        <v>2013</v>
      </c>
      <c r="R56" s="97">
        <f t="shared" si="10"/>
        <v>57</v>
      </c>
      <c r="S56" s="97">
        <f t="shared" si="11"/>
        <v>57</v>
      </c>
      <c r="T56" s="97">
        <f t="shared" si="12"/>
        <v>166</v>
      </c>
      <c r="U56" s="93"/>
      <c r="V56" s="97">
        <f>SUM(R56:U56)</f>
        <v>280</v>
      </c>
      <c r="X56" s="97">
        <f>I26</f>
        <v>1</v>
      </c>
      <c r="Y56" s="97">
        <f t="shared" si="5"/>
        <v>19</v>
      </c>
      <c r="Z56" s="97">
        <f t="shared" si="6"/>
        <v>16943</v>
      </c>
      <c r="AA56" s="97">
        <f t="shared" si="7"/>
        <v>6139072</v>
      </c>
      <c r="AB56" s="97">
        <f>SUM(X56:AA56)</f>
        <v>6156035</v>
      </c>
    </row>
    <row r="57" spans="17:28" ht="12.75">
      <c r="Q57" s="98">
        <v>2014</v>
      </c>
      <c r="R57" s="97">
        <f>D27</f>
        <v>67</v>
      </c>
      <c r="S57" s="97">
        <f>E27</f>
        <v>60</v>
      </c>
      <c r="T57" s="97">
        <f>F27</f>
        <v>172.00000000000003</v>
      </c>
      <c r="U57" s="93"/>
      <c r="V57" s="97">
        <f>SUM(R57:U57)</f>
        <v>299</v>
      </c>
      <c r="X57" s="97">
        <f>I27</f>
        <v>0</v>
      </c>
      <c r="Y57" s="97">
        <f>J27</f>
        <v>16</v>
      </c>
      <c r="Z57" s="97">
        <f>K27</f>
        <v>17700.000000000004</v>
      </c>
      <c r="AA57" s="97">
        <f>L27</f>
        <v>6414727</v>
      </c>
      <c r="AB57" s="97">
        <f>SUM(X57:AA57)</f>
        <v>6432443</v>
      </c>
    </row>
  </sheetData>
  <sheetProtection/>
  <mergeCells count="29">
    <mergeCell ref="A30:B30"/>
    <mergeCell ref="M6:M7"/>
    <mergeCell ref="A12:B12"/>
    <mergeCell ref="H6:H7"/>
    <mergeCell ref="D6:G6"/>
    <mergeCell ref="A11:B11"/>
    <mergeCell ref="A13:B13"/>
    <mergeCell ref="A6:B7"/>
    <mergeCell ref="A9:B9"/>
    <mergeCell ref="A22:B22"/>
    <mergeCell ref="A29:B29"/>
    <mergeCell ref="A21:B21"/>
    <mergeCell ref="A26:B26"/>
    <mergeCell ref="A15:B15"/>
    <mergeCell ref="A19:B19"/>
    <mergeCell ref="A20:B20"/>
    <mergeCell ref="A25:B25"/>
    <mergeCell ref="A24:B24"/>
    <mergeCell ref="A27:B27"/>
    <mergeCell ref="A32:B32"/>
    <mergeCell ref="A8:B8"/>
    <mergeCell ref="A31:B31"/>
    <mergeCell ref="A17:B17"/>
    <mergeCell ref="A18:B18"/>
    <mergeCell ref="A10:B10"/>
    <mergeCell ref="A23:B23"/>
    <mergeCell ref="A14:B14"/>
    <mergeCell ref="A16:B16"/>
    <mergeCell ref="A28:B28"/>
  </mergeCells>
  <printOptions/>
  <pageMargins left="0.94" right="0.18" top="0.78" bottom="1" header="0" footer="0"/>
  <pageSetup fitToHeight="1" fitToWidth="1"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Y100"/>
  <sheetViews>
    <sheetView view="pageBreakPreview" zoomScaleNormal="130" zoomScaleSheetLayoutView="100" zoomScalePageLayoutView="0" workbookViewId="0" topLeftCell="A40">
      <selection activeCell="D30" sqref="D30"/>
    </sheetView>
  </sheetViews>
  <sheetFormatPr defaultColWidth="11.421875" defaultRowHeight="12.75"/>
  <cols>
    <col min="1" max="1" width="17.7109375" style="537" customWidth="1"/>
    <col min="2" max="2" width="11.140625" style="537" customWidth="1"/>
    <col min="3" max="3" width="13.421875" style="537" customWidth="1"/>
    <col min="4" max="4" width="15.00390625" style="537" customWidth="1"/>
    <col min="5" max="5" width="13.421875" style="537" bestFit="1" customWidth="1"/>
    <col min="6" max="10" width="11.421875" style="537" customWidth="1"/>
    <col min="11" max="11" width="7.421875" style="537" customWidth="1"/>
    <col min="12" max="13" width="11.421875" style="537" customWidth="1"/>
    <col min="14" max="14" width="15.00390625" style="537" customWidth="1"/>
    <col min="15" max="16384" width="11.421875" style="537" customWidth="1"/>
  </cols>
  <sheetData>
    <row r="1" ht="12.75"/>
    <row r="2" ht="12.75"/>
    <row r="3" ht="12.75">
      <c r="A3" s="550" t="s">
        <v>65</v>
      </c>
    </row>
    <row r="4" ht="12.75">
      <c r="A4" s="550"/>
    </row>
    <row r="5" ht="13.5" thickBot="1">
      <c r="A5" s="550"/>
    </row>
    <row r="6" spans="1:5" ht="12.75">
      <c r="A6" s="1296" t="s">
        <v>58</v>
      </c>
      <c r="B6" s="1298" t="s">
        <v>66</v>
      </c>
      <c r="C6" s="1299"/>
      <c r="D6" s="1299"/>
      <c r="E6" s="1300"/>
    </row>
    <row r="7" spans="1:5" ht="12.75">
      <c r="A7" s="1297"/>
      <c r="B7" s="1202" t="s">
        <v>0</v>
      </c>
      <c r="C7" s="1202" t="s">
        <v>11</v>
      </c>
      <c r="D7" s="1202" t="s">
        <v>67</v>
      </c>
      <c r="E7" s="1203" t="s">
        <v>10</v>
      </c>
    </row>
    <row r="8" spans="1:5" ht="12.75">
      <c r="A8" s="278">
        <v>1995</v>
      </c>
      <c r="B8" s="276">
        <f aca="true" t="shared" si="0" ref="B8:B14">SUM(C8:E8)</f>
        <v>7479</v>
      </c>
      <c r="C8" s="538">
        <v>2080</v>
      </c>
      <c r="D8" s="538">
        <v>306</v>
      </c>
      <c r="E8" s="280">
        <v>5093</v>
      </c>
    </row>
    <row r="9" spans="1:5" ht="12.75">
      <c r="A9" s="278">
        <v>1996</v>
      </c>
      <c r="B9" s="277">
        <f t="shared" si="0"/>
        <v>6401</v>
      </c>
      <c r="C9" s="279">
        <v>1672</v>
      </c>
      <c r="D9" s="279">
        <v>351</v>
      </c>
      <c r="E9" s="280">
        <v>4378</v>
      </c>
    </row>
    <row r="10" spans="1:5" ht="12.75">
      <c r="A10" s="278">
        <v>1997</v>
      </c>
      <c r="B10" s="277">
        <f t="shared" si="0"/>
        <v>6140</v>
      </c>
      <c r="C10" s="279">
        <v>2006</v>
      </c>
      <c r="D10" s="279">
        <v>345</v>
      </c>
      <c r="E10" s="280">
        <v>3789</v>
      </c>
    </row>
    <row r="11" spans="1:5" ht="12.75">
      <c r="A11" s="278">
        <v>1998</v>
      </c>
      <c r="B11" s="277">
        <f t="shared" si="0"/>
        <v>6138</v>
      </c>
      <c r="C11" s="279">
        <v>1884</v>
      </c>
      <c r="D11" s="279">
        <v>419</v>
      </c>
      <c r="E11" s="280">
        <v>3835</v>
      </c>
    </row>
    <row r="12" spans="1:5" ht="12.75">
      <c r="A12" s="278">
        <v>1999</v>
      </c>
      <c r="B12" s="277">
        <f t="shared" si="0"/>
        <v>5477</v>
      </c>
      <c r="C12" s="539">
        <v>1806</v>
      </c>
      <c r="D12" s="279">
        <v>436</v>
      </c>
      <c r="E12" s="280">
        <v>3235</v>
      </c>
    </row>
    <row r="13" spans="1:5" ht="12.75">
      <c r="A13" s="278">
        <v>2000</v>
      </c>
      <c r="B13" s="277">
        <f t="shared" si="0"/>
        <v>5241</v>
      </c>
      <c r="C13" s="279">
        <v>1733</v>
      </c>
      <c r="D13" s="279">
        <v>512</v>
      </c>
      <c r="E13" s="280">
        <v>2996</v>
      </c>
    </row>
    <row r="14" spans="1:5" ht="12.75">
      <c r="A14" s="278">
        <v>2001</v>
      </c>
      <c r="B14" s="277">
        <f t="shared" si="0"/>
        <v>5274</v>
      </c>
      <c r="C14" s="279">
        <v>1708</v>
      </c>
      <c r="D14" s="279">
        <v>571</v>
      </c>
      <c r="E14" s="280">
        <v>2995</v>
      </c>
    </row>
    <row r="15" spans="1:5" ht="12.75">
      <c r="A15" s="278">
        <v>2002</v>
      </c>
      <c r="B15" s="277">
        <v>5426</v>
      </c>
      <c r="C15" s="279">
        <v>1832</v>
      </c>
      <c r="D15" s="279">
        <v>544</v>
      </c>
      <c r="E15" s="280">
        <v>3349</v>
      </c>
    </row>
    <row r="16" spans="1:5" ht="12.75">
      <c r="A16" s="278">
        <v>2003</v>
      </c>
      <c r="B16" s="277">
        <f>SUM(C16:E16)</f>
        <v>6203</v>
      </c>
      <c r="C16" s="279">
        <v>1901</v>
      </c>
      <c r="D16" s="279">
        <v>711</v>
      </c>
      <c r="E16" s="280">
        <v>3591</v>
      </c>
    </row>
    <row r="17" spans="1:5" ht="12.75">
      <c r="A17" s="278">
        <v>2004</v>
      </c>
      <c r="B17" s="277">
        <f>SUM(C17:E17)</f>
        <v>5938</v>
      </c>
      <c r="C17" s="279">
        <v>1600</v>
      </c>
      <c r="D17" s="279">
        <v>444</v>
      </c>
      <c r="E17" s="280">
        <v>3894</v>
      </c>
    </row>
    <row r="18" spans="1:5" ht="12.75">
      <c r="A18" s="278">
        <v>2005</v>
      </c>
      <c r="B18" s="277">
        <f>SUM(C18:E18)</f>
        <v>6055</v>
      </c>
      <c r="C18" s="279">
        <v>1721</v>
      </c>
      <c r="D18" s="279">
        <v>420</v>
      </c>
      <c r="E18" s="280">
        <v>3914</v>
      </c>
    </row>
    <row r="19" spans="1:5" ht="12.75">
      <c r="A19" s="278">
        <v>2006</v>
      </c>
      <c r="B19" s="277">
        <f>SUM(C19:E19)</f>
        <v>6157</v>
      </c>
      <c r="C19" s="279">
        <v>1730</v>
      </c>
      <c r="D19" s="279">
        <v>433</v>
      </c>
      <c r="E19" s="280">
        <v>3994</v>
      </c>
    </row>
    <row r="20" spans="1:5" ht="12.75">
      <c r="A20" s="278">
        <v>2007</v>
      </c>
      <c r="B20" s="277">
        <v>6347</v>
      </c>
      <c r="C20" s="279">
        <v>1939</v>
      </c>
      <c r="D20" s="279">
        <v>431</v>
      </c>
      <c r="E20" s="280">
        <v>3977</v>
      </c>
    </row>
    <row r="21" spans="1:5" ht="12.75">
      <c r="A21" s="278">
        <v>2008</v>
      </c>
      <c r="B21" s="277">
        <f>SUM(C21:E21)</f>
        <v>6427</v>
      </c>
      <c r="C21" s="279">
        <v>1943</v>
      </c>
      <c r="D21" s="279">
        <v>456</v>
      </c>
      <c r="E21" s="280">
        <v>4028</v>
      </c>
    </row>
    <row r="22" spans="1:5" ht="12.75">
      <c r="A22" s="278">
        <v>2009</v>
      </c>
      <c r="B22" s="277">
        <f>SUM(C22:E22)</f>
        <v>6758</v>
      </c>
      <c r="C22" s="279">
        <v>2156</v>
      </c>
      <c r="D22" s="279">
        <v>469</v>
      </c>
      <c r="E22" s="280">
        <v>4133</v>
      </c>
    </row>
    <row r="23" spans="1:5" ht="12.75" customHeight="1">
      <c r="A23" s="278">
        <v>2010</v>
      </c>
      <c r="B23" s="277">
        <f>SUM(C23:E23)</f>
        <v>6901</v>
      </c>
      <c r="C23" s="279">
        <v>2296</v>
      </c>
      <c r="D23" s="279">
        <v>474</v>
      </c>
      <c r="E23" s="280">
        <v>4131</v>
      </c>
    </row>
    <row r="24" spans="1:5" ht="12.75" customHeight="1">
      <c r="A24" s="278">
        <v>2011</v>
      </c>
      <c r="B24" s="277">
        <f>SUM(C24:E24)</f>
        <v>7677</v>
      </c>
      <c r="C24" s="279">
        <v>2411</v>
      </c>
      <c r="D24" s="279">
        <v>560</v>
      </c>
      <c r="E24" s="280">
        <v>4706</v>
      </c>
    </row>
    <row r="25" spans="1:5" ht="12.75" customHeight="1">
      <c r="A25" s="278">
        <v>2012</v>
      </c>
      <c r="B25" s="277">
        <v>7903</v>
      </c>
      <c r="C25" s="279">
        <v>2476</v>
      </c>
      <c r="D25" s="279">
        <v>560</v>
      </c>
      <c r="E25" s="280">
        <v>4867</v>
      </c>
    </row>
    <row r="26" spans="1:5" ht="12.75">
      <c r="A26" s="278">
        <v>2013</v>
      </c>
      <c r="B26" s="277">
        <v>7842</v>
      </c>
      <c r="C26" s="279">
        <v>2392</v>
      </c>
      <c r="D26" s="279">
        <v>538</v>
      </c>
      <c r="E26" s="280">
        <v>4912</v>
      </c>
    </row>
    <row r="27" spans="1:5" ht="13.5" thickBot="1">
      <c r="A27" s="1077">
        <v>2014</v>
      </c>
      <c r="B27" s="1138">
        <v>8541</v>
      </c>
      <c r="C27" s="1139">
        <v>3663</v>
      </c>
      <c r="D27" s="1139">
        <v>594</v>
      </c>
      <c r="E27" s="1140">
        <v>4284</v>
      </c>
    </row>
    <row r="28" ht="12.75"/>
    <row r="29" ht="12.75"/>
    <row r="30" ht="12.75"/>
    <row r="31" ht="12.75"/>
    <row r="32" ht="12.75"/>
    <row r="33" ht="12.75"/>
    <row r="34" ht="12.75"/>
    <row r="35" ht="12.75"/>
    <row r="36" ht="12.75">
      <c r="A36" s="550" t="s">
        <v>68</v>
      </c>
    </row>
    <row r="37" ht="27" customHeight="1" thickBot="1"/>
    <row r="38" spans="1:3" ht="12.75">
      <c r="A38" s="1075" t="s">
        <v>18</v>
      </c>
      <c r="B38" s="1301" t="s">
        <v>69</v>
      </c>
      <c r="C38" s="1302"/>
    </row>
    <row r="39" spans="1:3" ht="12.75">
      <c r="A39" s="278"/>
      <c r="B39" s="540"/>
      <c r="C39" s="541"/>
    </row>
    <row r="40" spans="1:3" ht="12.75">
      <c r="A40" s="278">
        <v>1995</v>
      </c>
      <c r="B40" s="1292">
        <v>19.7</v>
      </c>
      <c r="C40" s="1293"/>
    </row>
    <row r="41" spans="1:3" ht="12.75">
      <c r="A41" s="278">
        <v>1996</v>
      </c>
      <c r="B41" s="1292">
        <v>17</v>
      </c>
      <c r="C41" s="1293"/>
    </row>
    <row r="42" spans="1:3" ht="12.75">
      <c r="A42" s="278">
        <v>1997</v>
      </c>
      <c r="B42" s="1292">
        <v>14.5</v>
      </c>
      <c r="C42" s="1293"/>
    </row>
    <row r="43" spans="1:3" ht="12.75">
      <c r="A43" s="278">
        <v>1998</v>
      </c>
      <c r="B43" s="1292">
        <v>12.4</v>
      </c>
      <c r="C43" s="1293"/>
    </row>
    <row r="44" spans="1:3" ht="12.75">
      <c r="A44" s="278">
        <v>1999</v>
      </c>
      <c r="B44" s="1292">
        <v>11.3</v>
      </c>
      <c r="C44" s="1293"/>
    </row>
    <row r="45" spans="1:3" ht="12.75">
      <c r="A45" s="278">
        <v>2000</v>
      </c>
      <c r="B45" s="1292">
        <v>10.4</v>
      </c>
      <c r="C45" s="1293"/>
    </row>
    <row r="46" spans="1:3" ht="12.75">
      <c r="A46" s="278">
        <v>2001</v>
      </c>
      <c r="B46" s="1292">
        <v>9.7</v>
      </c>
      <c r="C46" s="1293"/>
    </row>
    <row r="47" spans="1:4" ht="12.75">
      <c r="A47" s="278">
        <v>2002</v>
      </c>
      <c r="B47" s="1292">
        <v>9.1</v>
      </c>
      <c r="C47" s="1293"/>
      <c r="D47" s="542"/>
    </row>
    <row r="48" spans="1:3" ht="12.75">
      <c r="A48" s="278">
        <v>2003</v>
      </c>
      <c r="B48" s="1292">
        <v>9.07</v>
      </c>
      <c r="C48" s="1293"/>
    </row>
    <row r="49" spans="1:3" ht="12.75">
      <c r="A49" s="278">
        <v>2004</v>
      </c>
      <c r="B49" s="1292">
        <v>8.7</v>
      </c>
      <c r="C49" s="1293"/>
    </row>
    <row r="50" spans="1:3" ht="12.75">
      <c r="A50" s="278">
        <v>2005</v>
      </c>
      <c r="B50" s="1292">
        <v>8.4</v>
      </c>
      <c r="C50" s="1293"/>
    </row>
    <row r="51" spans="1:3" ht="12.75">
      <c r="A51" s="278">
        <v>2006</v>
      </c>
      <c r="B51" s="1292">
        <v>8.552</v>
      </c>
      <c r="C51" s="1293"/>
    </row>
    <row r="52" spans="1:3" ht="12.75">
      <c r="A52" s="278">
        <v>2007</v>
      </c>
      <c r="B52" s="1292">
        <v>8.174</v>
      </c>
      <c r="C52" s="1293"/>
    </row>
    <row r="53" spans="1:3" ht="12.75">
      <c r="A53" s="278">
        <v>2008</v>
      </c>
      <c r="B53" s="1292">
        <v>8.004</v>
      </c>
      <c r="C53" s="1293"/>
    </row>
    <row r="54" spans="1:3" ht="12.75">
      <c r="A54" s="278">
        <v>2009</v>
      </c>
      <c r="B54" s="1292">
        <v>7.85</v>
      </c>
      <c r="C54" s="1293"/>
    </row>
    <row r="55" spans="1:3" ht="12.75">
      <c r="A55" s="278">
        <v>2010</v>
      </c>
      <c r="B55" s="1292">
        <v>7.81</v>
      </c>
      <c r="C55" s="1293"/>
    </row>
    <row r="56" spans="1:3" ht="12.75">
      <c r="A56" s="278">
        <v>2011</v>
      </c>
      <c r="B56" s="1292">
        <v>7.599</v>
      </c>
      <c r="C56" s="1293"/>
    </row>
    <row r="57" spans="1:3" ht="12.75">
      <c r="A57" s="278">
        <v>2012</v>
      </c>
      <c r="B57" s="1292">
        <v>7.719</v>
      </c>
      <c r="C57" s="1293"/>
    </row>
    <row r="58" spans="1:3" ht="12.75">
      <c r="A58" s="278">
        <v>2013</v>
      </c>
      <c r="B58" s="1292">
        <v>7.468</v>
      </c>
      <c r="C58" s="1293"/>
    </row>
    <row r="59" spans="1:3" ht="13.5" thickBot="1">
      <c r="A59" s="281">
        <v>2014</v>
      </c>
      <c r="B59" s="1303">
        <v>7.468</v>
      </c>
      <c r="C59" s="1304"/>
    </row>
    <row r="60" ht="12.75"/>
    <row r="61" ht="12.75"/>
    <row r="62" spans="16:25" ht="12.75">
      <c r="P62" s="543"/>
      <c r="Q62" s="543"/>
      <c r="R62" s="543"/>
      <c r="S62" s="543"/>
      <c r="T62" s="543"/>
      <c r="U62" s="543"/>
      <c r="V62" s="543"/>
      <c r="W62" s="543"/>
      <c r="X62" s="543"/>
      <c r="Y62" s="543"/>
    </row>
    <row r="63" spans="16:25" ht="12.75">
      <c r="P63" s="543"/>
      <c r="Q63" s="543"/>
      <c r="R63" s="543"/>
      <c r="S63" s="543"/>
      <c r="T63" s="543"/>
      <c r="U63" s="543"/>
      <c r="V63" s="543"/>
      <c r="W63" s="543"/>
      <c r="X63" s="543"/>
      <c r="Y63" s="543"/>
    </row>
    <row r="64" spans="16:25" ht="12.75">
      <c r="P64" s="543"/>
      <c r="Q64" s="543"/>
      <c r="R64" s="543"/>
      <c r="S64" s="543"/>
      <c r="T64" s="543"/>
      <c r="U64" s="543"/>
      <c r="V64" s="543"/>
      <c r="W64" s="543"/>
      <c r="X64" s="543"/>
      <c r="Y64" s="543"/>
    </row>
    <row r="65" spans="16:25" ht="12.75">
      <c r="P65" s="543"/>
      <c r="Q65" s="543"/>
      <c r="R65" s="543"/>
      <c r="S65" s="543"/>
      <c r="T65" s="543"/>
      <c r="U65" s="543"/>
      <c r="V65" s="543"/>
      <c r="W65" s="543"/>
      <c r="X65" s="543"/>
      <c r="Y65" s="543"/>
    </row>
    <row r="66" spans="1:25" ht="12.75">
      <c r="A66" s="550" t="s">
        <v>70</v>
      </c>
      <c r="P66" s="543"/>
      <c r="Q66" s="543"/>
      <c r="R66" s="543"/>
      <c r="S66" s="543"/>
      <c r="T66" s="543"/>
      <c r="U66" s="543"/>
      <c r="V66" s="543"/>
      <c r="W66" s="543"/>
      <c r="X66" s="543"/>
      <c r="Y66" s="543"/>
    </row>
    <row r="67" spans="16:25" ht="39.75" customHeight="1">
      <c r="P67" s="544"/>
      <c r="Q67" s="544"/>
      <c r="R67" s="544"/>
      <c r="S67" s="544"/>
      <c r="T67" s="543"/>
      <c r="U67" s="544"/>
      <c r="V67" s="544"/>
      <c r="W67" s="544"/>
      <c r="X67" s="543"/>
      <c r="Y67" s="543"/>
    </row>
    <row r="68" spans="16:25" ht="12.75" customHeight="1" thickBot="1">
      <c r="P68" s="544"/>
      <c r="Q68" s="545"/>
      <c r="R68" s="286"/>
      <c r="S68" s="286"/>
      <c r="T68" s="543"/>
      <c r="U68" s="543"/>
      <c r="V68" s="543"/>
      <c r="W68" s="543"/>
      <c r="X68" s="543"/>
      <c r="Y68" s="543"/>
    </row>
    <row r="69" spans="1:25" ht="12.75" customHeight="1">
      <c r="A69" s="1075" t="s">
        <v>18</v>
      </c>
      <c r="B69" s="1301" t="s">
        <v>76</v>
      </c>
      <c r="C69" s="1301"/>
      <c r="D69" s="1301" t="s">
        <v>71</v>
      </c>
      <c r="E69" s="1302"/>
      <c r="P69" s="544"/>
      <c r="Q69" s="545"/>
      <c r="R69" s="545"/>
      <c r="S69" s="545"/>
      <c r="T69" s="543"/>
      <c r="U69" s="543"/>
      <c r="V69" s="543"/>
      <c r="W69" s="543"/>
      <c r="X69" s="543"/>
      <c r="Y69" s="543"/>
    </row>
    <row r="70" spans="1:25" ht="12.75" customHeight="1">
      <c r="A70" s="278"/>
      <c r="B70" s="282"/>
      <c r="C70" s="283"/>
      <c r="D70" s="284"/>
      <c r="E70" s="285"/>
      <c r="P70" s="544"/>
      <c r="Q70" s="545"/>
      <c r="R70" s="545"/>
      <c r="S70" s="545"/>
      <c r="T70" s="543"/>
      <c r="U70" s="543"/>
      <c r="V70" s="543"/>
      <c r="W70" s="543"/>
      <c r="X70" s="543"/>
      <c r="Y70" s="543"/>
    </row>
    <row r="71" spans="1:25" ht="12.75">
      <c r="A71" s="278">
        <v>1995</v>
      </c>
      <c r="B71" s="1294">
        <v>2052.1</v>
      </c>
      <c r="C71" s="1295"/>
      <c r="D71" s="1305"/>
      <c r="E71" s="1306"/>
      <c r="P71" s="287"/>
      <c r="Q71" s="288"/>
      <c r="R71" s="288"/>
      <c r="S71" s="288"/>
      <c r="T71" s="543"/>
      <c r="U71" s="543"/>
      <c r="V71" s="543"/>
      <c r="W71" s="543"/>
      <c r="X71" s="543"/>
      <c r="Y71" s="543"/>
    </row>
    <row r="72" spans="1:25" ht="12.75">
      <c r="A72" s="278">
        <v>1996</v>
      </c>
      <c r="B72" s="1294">
        <v>2024.93</v>
      </c>
      <c r="C72" s="1295"/>
      <c r="D72" s="1305">
        <f aca="true" t="shared" si="1" ref="D72:D81">+((B72/B71)-1)*100</f>
        <v>-1.3240095511914518</v>
      </c>
      <c r="E72" s="1306"/>
      <c r="P72" s="287"/>
      <c r="Q72" s="288"/>
      <c r="R72" s="288"/>
      <c r="S72" s="288"/>
      <c r="T72" s="543"/>
      <c r="U72" s="543"/>
      <c r="V72" s="543"/>
      <c r="W72" s="543"/>
      <c r="X72" s="543"/>
      <c r="Y72" s="543"/>
    </row>
    <row r="73" spans="1:25" ht="12.75">
      <c r="A73" s="278" t="s">
        <v>72</v>
      </c>
      <c r="B73" s="1294">
        <v>2400.9</v>
      </c>
      <c r="C73" s="1295"/>
      <c r="D73" s="1305">
        <f t="shared" si="1"/>
        <v>18.567061577437237</v>
      </c>
      <c r="E73" s="1306"/>
      <c r="P73" s="287"/>
      <c r="Q73" s="288"/>
      <c r="R73" s="288"/>
      <c r="S73" s="288"/>
      <c r="T73" s="543"/>
      <c r="U73" s="543"/>
      <c r="V73" s="543"/>
      <c r="W73" s="543"/>
      <c r="X73" s="543"/>
      <c r="Y73" s="543"/>
    </row>
    <row r="74" spans="1:25" ht="12.75">
      <c r="A74" s="278">
        <v>1998</v>
      </c>
      <c r="B74" s="1294">
        <v>2520.6</v>
      </c>
      <c r="C74" s="1295"/>
      <c r="D74" s="1305">
        <f t="shared" si="1"/>
        <v>4.985630388604267</v>
      </c>
      <c r="E74" s="1306"/>
      <c r="P74" s="544"/>
      <c r="Q74" s="545"/>
      <c r="R74" s="545"/>
      <c r="S74" s="545"/>
      <c r="T74" s="543"/>
      <c r="U74" s="543"/>
      <c r="V74" s="543"/>
      <c r="W74" s="543"/>
      <c r="X74" s="543"/>
      <c r="Y74" s="543"/>
    </row>
    <row r="75" spans="1:25" ht="12.75">
      <c r="A75" s="278">
        <v>1999</v>
      </c>
      <c r="B75" s="1294">
        <v>2580.3</v>
      </c>
      <c r="C75" s="1295"/>
      <c r="D75" s="1305">
        <f t="shared" si="1"/>
        <v>2.368483694358492</v>
      </c>
      <c r="E75" s="1306"/>
      <c r="P75" s="544"/>
      <c r="Q75" s="545"/>
      <c r="R75" s="545"/>
      <c r="S75" s="545"/>
      <c r="T75" s="543"/>
      <c r="U75" s="543"/>
      <c r="V75" s="543"/>
      <c r="W75" s="543"/>
      <c r="X75" s="543"/>
      <c r="Y75" s="543"/>
    </row>
    <row r="76" spans="1:25" ht="12.75">
      <c r="A76" s="278">
        <v>2000</v>
      </c>
      <c r="B76" s="1294">
        <v>2620.7</v>
      </c>
      <c r="C76" s="1295"/>
      <c r="D76" s="1305">
        <f t="shared" si="1"/>
        <v>1.5657094136340532</v>
      </c>
      <c r="E76" s="1306"/>
      <c r="P76" s="544"/>
      <c r="Q76" s="545"/>
      <c r="R76" s="545"/>
      <c r="S76" s="545"/>
      <c r="T76" s="543"/>
      <c r="U76" s="543"/>
      <c r="V76" s="543"/>
      <c r="W76" s="543"/>
      <c r="X76" s="543"/>
      <c r="Y76" s="543"/>
    </row>
    <row r="77" spans="1:25" ht="12.75">
      <c r="A77" s="278" t="s">
        <v>73</v>
      </c>
      <c r="B77" s="1294">
        <v>2792.22</v>
      </c>
      <c r="C77" s="1295"/>
      <c r="D77" s="1305">
        <f t="shared" si="1"/>
        <v>6.544816270462084</v>
      </c>
      <c r="E77" s="1306"/>
      <c r="P77" s="544"/>
      <c r="Q77" s="545"/>
      <c r="R77" s="545"/>
      <c r="S77" s="545"/>
      <c r="T77" s="543"/>
      <c r="U77" s="543"/>
      <c r="V77" s="543"/>
      <c r="W77" s="543"/>
      <c r="X77" s="543"/>
      <c r="Y77" s="543"/>
    </row>
    <row r="78" spans="1:25" ht="12.75">
      <c r="A78" s="278">
        <v>2002</v>
      </c>
      <c r="B78" s="1294">
        <v>2908.2</v>
      </c>
      <c r="C78" s="1295"/>
      <c r="D78" s="1305">
        <f t="shared" si="1"/>
        <v>4.15368416528783</v>
      </c>
      <c r="E78" s="1306"/>
      <c r="P78" s="544"/>
      <c r="Q78" s="545"/>
      <c r="R78" s="545"/>
      <c r="S78" s="545"/>
      <c r="T78" s="543"/>
      <c r="U78" s="543"/>
      <c r="V78" s="543"/>
      <c r="W78" s="543"/>
      <c r="X78" s="543"/>
      <c r="Y78" s="543"/>
    </row>
    <row r="79" spans="1:25" ht="12.75">
      <c r="A79" s="278">
        <v>2003</v>
      </c>
      <c r="B79" s="1294">
        <v>2964.7549</v>
      </c>
      <c r="C79" s="1295"/>
      <c r="D79" s="1305">
        <f t="shared" si="1"/>
        <v>1.944670242761859</v>
      </c>
      <c r="E79" s="1306"/>
      <c r="P79" s="544"/>
      <c r="Q79" s="545"/>
      <c r="R79" s="545"/>
      <c r="S79" s="545"/>
      <c r="T79" s="543"/>
      <c r="U79" s="543"/>
      <c r="V79" s="543"/>
      <c r="W79" s="543"/>
      <c r="X79" s="543"/>
      <c r="Y79" s="543"/>
    </row>
    <row r="80" spans="1:25" ht="12.75">
      <c r="A80" s="278">
        <v>2004</v>
      </c>
      <c r="B80" s="1294">
        <v>3130.8466199999993</v>
      </c>
      <c r="C80" s="1295"/>
      <c r="D80" s="1305">
        <f t="shared" si="1"/>
        <v>5.602207453978725</v>
      </c>
      <c r="E80" s="1306"/>
      <c r="P80" s="544"/>
      <c r="Q80" s="545"/>
      <c r="R80" s="545"/>
      <c r="S80" s="545"/>
      <c r="T80" s="543"/>
      <c r="U80" s="543"/>
      <c r="V80" s="543"/>
      <c r="W80" s="543"/>
      <c r="X80" s="543"/>
      <c r="Y80" s="543"/>
    </row>
    <row r="81" spans="1:25" ht="12.75">
      <c r="A81" s="278">
        <v>2005</v>
      </c>
      <c r="B81" s="1294">
        <v>3305.01405</v>
      </c>
      <c r="C81" s="1295"/>
      <c r="D81" s="1305">
        <f t="shared" si="1"/>
        <v>5.562949934609085</v>
      </c>
      <c r="E81" s="1306"/>
      <c r="P81" s="544"/>
      <c r="Q81" s="545"/>
      <c r="R81" s="545"/>
      <c r="S81" s="545"/>
      <c r="T81" s="543"/>
      <c r="U81" s="543"/>
      <c r="V81" s="543"/>
      <c r="W81" s="543"/>
      <c r="X81" s="543"/>
      <c r="Y81" s="543"/>
    </row>
    <row r="82" spans="1:25" ht="12.75">
      <c r="A82" s="278">
        <v>2006</v>
      </c>
      <c r="B82" s="1294">
        <v>3580</v>
      </c>
      <c r="C82" s="1295"/>
      <c r="D82" s="1305">
        <f aca="true" t="shared" si="2" ref="D82:D87">+((B82/B81)-1)*100</f>
        <v>8.320265688431782</v>
      </c>
      <c r="E82" s="1306"/>
      <c r="P82" s="544"/>
      <c r="Q82" s="545"/>
      <c r="R82" s="545"/>
      <c r="S82" s="545"/>
      <c r="T82" s="543"/>
      <c r="U82" s="543"/>
      <c r="V82" s="543"/>
      <c r="W82" s="543"/>
      <c r="X82" s="543"/>
      <c r="Y82" s="543"/>
    </row>
    <row r="83" spans="1:25" ht="12.75">
      <c r="A83" s="278">
        <v>2007</v>
      </c>
      <c r="B83" s="1294">
        <v>3965.6038100000005</v>
      </c>
      <c r="C83" s="1295"/>
      <c r="D83" s="1305">
        <f t="shared" si="2"/>
        <v>10.7710561452514</v>
      </c>
      <c r="E83" s="1306"/>
      <c r="P83" s="544"/>
      <c r="Q83" s="545"/>
      <c r="R83" s="545"/>
      <c r="S83" s="545"/>
      <c r="T83" s="543"/>
      <c r="U83" s="543"/>
      <c r="V83" s="543"/>
      <c r="W83" s="543"/>
      <c r="X83" s="543"/>
      <c r="Y83" s="543"/>
    </row>
    <row r="84" spans="1:25" ht="12.75">
      <c r="A84" s="278">
        <v>2008</v>
      </c>
      <c r="B84" s="1294">
        <v>4198.65897</v>
      </c>
      <c r="C84" s="1295"/>
      <c r="D84" s="1305">
        <f t="shared" si="2"/>
        <v>5.87691487012163</v>
      </c>
      <c r="E84" s="1306"/>
      <c r="P84" s="544"/>
      <c r="Q84" s="545"/>
      <c r="R84" s="545"/>
      <c r="S84" s="545"/>
      <c r="T84" s="543"/>
      <c r="U84" s="543"/>
      <c r="V84" s="543"/>
      <c r="W84" s="543"/>
      <c r="X84" s="543"/>
      <c r="Y84" s="543"/>
    </row>
    <row r="85" spans="1:25" ht="12.75">
      <c r="A85" s="278">
        <v>2009</v>
      </c>
      <c r="B85" s="1294">
        <v>4322.374830000001</v>
      </c>
      <c r="C85" s="1295"/>
      <c r="D85" s="1305">
        <f t="shared" si="2"/>
        <v>2.94655652873852</v>
      </c>
      <c r="E85" s="1306"/>
      <c r="P85" s="543"/>
      <c r="Q85" s="543"/>
      <c r="R85" s="543"/>
      <c r="S85" s="543"/>
      <c r="T85" s="543"/>
      <c r="U85" s="543"/>
      <c r="V85" s="543"/>
      <c r="W85" s="543"/>
      <c r="X85" s="543"/>
      <c r="Y85" s="543"/>
    </row>
    <row r="86" spans="1:25" ht="12.75">
      <c r="A86" s="278">
        <v>2010</v>
      </c>
      <c r="B86" s="1294">
        <v>4578.94312</v>
      </c>
      <c r="C86" s="1295"/>
      <c r="D86" s="1305">
        <f t="shared" si="2"/>
        <v>5.9358176949221075</v>
      </c>
      <c r="E86" s="1306"/>
      <c r="P86" s="543"/>
      <c r="Q86" s="543"/>
      <c r="R86" s="543"/>
      <c r="S86" s="543"/>
      <c r="T86" s="543"/>
      <c r="U86" s="543"/>
      <c r="V86" s="543"/>
      <c r="W86" s="543"/>
      <c r="X86" s="543"/>
      <c r="Y86" s="543"/>
    </row>
    <row r="87" spans="1:25" ht="12.75">
      <c r="A87" s="278">
        <v>2011</v>
      </c>
      <c r="B87" s="1294">
        <v>4961.19299</v>
      </c>
      <c r="C87" s="1295"/>
      <c r="D87" s="1305">
        <f t="shared" si="2"/>
        <v>8.347993412069288</v>
      </c>
      <c r="E87" s="1306"/>
      <c r="P87" s="543"/>
      <c r="Q87" s="543"/>
      <c r="R87" s="543"/>
      <c r="S87" s="543"/>
      <c r="T87" s="543"/>
      <c r="U87" s="543"/>
      <c r="V87" s="543"/>
      <c r="W87" s="543"/>
      <c r="X87" s="543"/>
      <c r="Y87" s="543"/>
    </row>
    <row r="88" spans="1:25" ht="12.75">
      <c r="A88" s="278">
        <v>2012</v>
      </c>
      <c r="B88" s="1294">
        <v>5291</v>
      </c>
      <c r="C88" s="1295"/>
      <c r="D88" s="1305">
        <f>+((B88/B87)-1)*100</f>
        <v>6.647735951106393</v>
      </c>
      <c r="E88" s="1306"/>
      <c r="P88" s="543"/>
      <c r="Q88" s="543"/>
      <c r="R88" s="543"/>
      <c r="S88" s="543"/>
      <c r="T88" s="543"/>
      <c r="U88" s="543"/>
      <c r="V88" s="543"/>
      <c r="W88" s="543"/>
      <c r="X88" s="543"/>
      <c r="Y88" s="543"/>
    </row>
    <row r="89" spans="1:25" ht="13.5" customHeight="1">
      <c r="A89" s="278">
        <v>2013</v>
      </c>
      <c r="B89" s="1294">
        <v>5575.24357</v>
      </c>
      <c r="C89" s="1295"/>
      <c r="D89" s="1305">
        <f>+((B89/B88)-1)*100</f>
        <v>5.372208845208837</v>
      </c>
      <c r="E89" s="1306"/>
      <c r="P89" s="543"/>
      <c r="Q89" s="543"/>
      <c r="R89" s="543"/>
      <c r="S89" s="543"/>
      <c r="T89" s="543"/>
      <c r="U89" s="543"/>
      <c r="V89" s="543"/>
      <c r="W89" s="543"/>
      <c r="X89" s="543"/>
      <c r="Y89" s="543"/>
    </row>
    <row r="90" spans="1:25" ht="13.5" thickBot="1">
      <c r="A90" s="1077">
        <v>2014</v>
      </c>
      <c r="B90" s="1307">
        <v>5737.27</v>
      </c>
      <c r="C90" s="1308"/>
      <c r="D90" s="1309">
        <f>+((B90/B89)-1)*100</f>
        <v>2.9061767071819844</v>
      </c>
      <c r="E90" s="1310"/>
      <c r="P90" s="543"/>
      <c r="Q90" s="543"/>
      <c r="R90" s="543"/>
      <c r="S90" s="543"/>
      <c r="T90" s="543"/>
      <c r="U90" s="543"/>
      <c r="V90" s="543"/>
      <c r="W90" s="543"/>
      <c r="X90" s="543"/>
      <c r="Y90" s="543"/>
    </row>
    <row r="91" spans="1:25" ht="12.75">
      <c r="A91" s="278"/>
      <c r="B91" s="1204"/>
      <c r="C91" s="1205"/>
      <c r="D91" s="1076"/>
      <c r="E91" s="1076"/>
      <c r="P91" s="544"/>
      <c r="Q91" s="545"/>
      <c r="R91" s="545"/>
      <c r="S91" s="545"/>
      <c r="T91" s="543"/>
      <c r="U91" s="543"/>
      <c r="V91" s="543"/>
      <c r="W91" s="543"/>
      <c r="X91" s="543"/>
      <c r="Y91" s="543"/>
    </row>
    <row r="92" spans="1:25" ht="12.75">
      <c r="A92" s="551" t="s">
        <v>313</v>
      </c>
      <c r="B92" s="291">
        <f>+(B90/B89)-1</f>
        <v>0.029061767071819844</v>
      </c>
      <c r="C92" s="292"/>
      <c r="D92" s="543"/>
      <c r="E92" s="543"/>
      <c r="P92" s="544"/>
      <c r="Q92" s="545"/>
      <c r="R92" s="545"/>
      <c r="S92" s="545"/>
      <c r="T92" s="543"/>
      <c r="U92" s="543"/>
      <c r="V92" s="543"/>
      <c r="W92" s="543"/>
      <c r="X92" s="543"/>
      <c r="Y92" s="543"/>
    </row>
    <row r="93" spans="1:25" ht="12.75">
      <c r="A93" s="552" t="s">
        <v>314</v>
      </c>
      <c r="B93" s="289">
        <f>+(B90/B85)^(1/5)-1</f>
        <v>0.05827021381905073</v>
      </c>
      <c r="C93" s="546"/>
      <c r="D93" s="543"/>
      <c r="E93" s="543"/>
      <c r="P93" s="544"/>
      <c r="Q93" s="545"/>
      <c r="R93" s="545"/>
      <c r="S93" s="545"/>
      <c r="T93" s="543"/>
      <c r="U93" s="543"/>
      <c r="V93" s="543"/>
      <c r="W93" s="543"/>
      <c r="X93" s="543"/>
      <c r="Y93" s="543"/>
    </row>
    <row r="94" spans="1:25" ht="12.75">
      <c r="A94" s="552" t="s">
        <v>315</v>
      </c>
      <c r="B94" s="289">
        <f>+(B90/B80)^(1/10)-1</f>
        <v>0.062439844618161544</v>
      </c>
      <c r="C94" s="547"/>
      <c r="D94" s="543"/>
      <c r="E94" s="543"/>
      <c r="P94" s="543"/>
      <c r="Q94" s="543"/>
      <c r="R94" s="543"/>
      <c r="S94" s="543"/>
      <c r="T94" s="543"/>
      <c r="U94" s="543"/>
      <c r="V94" s="543"/>
      <c r="W94" s="543"/>
      <c r="X94" s="543"/>
      <c r="Y94" s="543"/>
    </row>
    <row r="95" spans="1:25" ht="13.5" thickBot="1">
      <c r="A95" s="553" t="s">
        <v>275</v>
      </c>
      <c r="B95" s="290">
        <f>+(B90/B80)-1</f>
        <v>0.8324979458751005</v>
      </c>
      <c r="C95" s="548"/>
      <c r="D95" s="549"/>
      <c r="E95" s="549"/>
      <c r="P95" s="543"/>
      <c r="Q95" s="543"/>
      <c r="R95" s="543"/>
      <c r="S95" s="543"/>
      <c r="T95" s="543"/>
      <c r="U95" s="543"/>
      <c r="V95" s="543"/>
      <c r="W95" s="543"/>
      <c r="X95" s="543"/>
      <c r="Y95" s="543"/>
    </row>
    <row r="96" spans="16:25" ht="12.75">
      <c r="P96" s="543"/>
      <c r="Q96" s="543"/>
      <c r="R96" s="543"/>
      <c r="S96" s="543"/>
      <c r="T96" s="543"/>
      <c r="U96" s="543"/>
      <c r="V96" s="543"/>
      <c r="W96" s="543"/>
      <c r="X96" s="543"/>
      <c r="Y96" s="543"/>
    </row>
    <row r="97" spans="1:25" ht="14.25">
      <c r="A97" s="554" t="s">
        <v>75</v>
      </c>
      <c r="P97" s="543"/>
      <c r="Q97" s="543"/>
      <c r="R97" s="543"/>
      <c r="S97" s="543"/>
      <c r="T97" s="543"/>
      <c r="U97" s="543"/>
      <c r="V97" s="543"/>
      <c r="W97" s="543"/>
      <c r="X97" s="543"/>
      <c r="Y97" s="543"/>
    </row>
    <row r="98" ht="12.75">
      <c r="A98" s="537" t="s">
        <v>74</v>
      </c>
    </row>
    <row r="100" ht="12.75">
      <c r="A100" s="543"/>
    </row>
  </sheetData>
  <sheetProtection/>
  <mergeCells count="65">
    <mergeCell ref="B90:C90"/>
    <mergeCell ref="D90:E90"/>
    <mergeCell ref="B88:C88"/>
    <mergeCell ref="D88:E88"/>
    <mergeCell ref="B87:C87"/>
    <mergeCell ref="D85:E85"/>
    <mergeCell ref="D87:E87"/>
    <mergeCell ref="D89:E89"/>
    <mergeCell ref="B84:C84"/>
    <mergeCell ref="D82:E82"/>
    <mergeCell ref="D86:E86"/>
    <mergeCell ref="B85:C85"/>
    <mergeCell ref="D83:E83"/>
    <mergeCell ref="B86:C86"/>
    <mergeCell ref="D84:E84"/>
    <mergeCell ref="B81:C81"/>
    <mergeCell ref="D79:E79"/>
    <mergeCell ref="B82:C82"/>
    <mergeCell ref="D80:E80"/>
    <mergeCell ref="B83:C83"/>
    <mergeCell ref="D81:E81"/>
    <mergeCell ref="B78:C78"/>
    <mergeCell ref="D76:E76"/>
    <mergeCell ref="B79:C79"/>
    <mergeCell ref="D77:E77"/>
    <mergeCell ref="B80:C80"/>
    <mergeCell ref="D78:E78"/>
    <mergeCell ref="B75:C75"/>
    <mergeCell ref="D73:E73"/>
    <mergeCell ref="B76:C76"/>
    <mergeCell ref="D74:E74"/>
    <mergeCell ref="B77:C77"/>
    <mergeCell ref="D75:E75"/>
    <mergeCell ref="D69:E69"/>
    <mergeCell ref="B73:C73"/>
    <mergeCell ref="D71:E71"/>
    <mergeCell ref="B74:C74"/>
    <mergeCell ref="D72:E72"/>
    <mergeCell ref="B71:C71"/>
    <mergeCell ref="B72:C72"/>
    <mergeCell ref="B52:C52"/>
    <mergeCell ref="B53:C53"/>
    <mergeCell ref="B54:C54"/>
    <mergeCell ref="B55:C55"/>
    <mergeCell ref="B69:C69"/>
    <mergeCell ref="B56:C56"/>
    <mergeCell ref="B58:C58"/>
    <mergeCell ref="B59:C59"/>
    <mergeCell ref="B57:C57"/>
    <mergeCell ref="B46:C46"/>
    <mergeCell ref="B47:C47"/>
    <mergeCell ref="B48:C48"/>
    <mergeCell ref="B49:C49"/>
    <mergeCell ref="B50:C50"/>
    <mergeCell ref="B51:C51"/>
    <mergeCell ref="B43:C43"/>
    <mergeCell ref="B44:C44"/>
    <mergeCell ref="B89:C89"/>
    <mergeCell ref="A6:A7"/>
    <mergeCell ref="B6:E6"/>
    <mergeCell ref="B38:C38"/>
    <mergeCell ref="B40:C40"/>
    <mergeCell ref="B41:C41"/>
    <mergeCell ref="B42:C42"/>
    <mergeCell ref="B45:C45"/>
  </mergeCells>
  <printOptions/>
  <pageMargins left="0.83" right="0.36" top="1.01" bottom="0.39" header="0" footer="0"/>
  <pageSetup fitToHeight="1" fitToWidth="1" horizontalDpi="600" verticalDpi="600" orientation="portrait" paperSize="9" scale="5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E215"/>
  <sheetViews>
    <sheetView showGridLines="0" tabSelected="1" view="pageBreakPreview" zoomScaleSheetLayoutView="100" zoomScalePageLayoutView="0" workbookViewId="0" topLeftCell="A1">
      <selection activeCell="M4" sqref="M4"/>
    </sheetView>
  </sheetViews>
  <sheetFormatPr defaultColWidth="11.421875" defaultRowHeight="12.75"/>
  <cols>
    <col min="1" max="1" width="4.421875" style="352" customWidth="1"/>
    <col min="2" max="2" width="19.00390625" style="352" customWidth="1"/>
    <col min="3" max="3" width="12.7109375" style="352" customWidth="1"/>
    <col min="4" max="4" width="10.7109375" style="352" customWidth="1"/>
    <col min="5" max="5" width="12.00390625" style="352" customWidth="1"/>
    <col min="6" max="6" width="13.28125" style="352" customWidth="1"/>
    <col min="7" max="7" width="12.7109375" style="352" customWidth="1"/>
    <col min="8" max="8" width="10.8515625" style="352" customWidth="1"/>
    <col min="9" max="10" width="12.421875" style="352" customWidth="1"/>
    <col min="11" max="11" width="12.57421875" style="352" customWidth="1"/>
    <col min="12" max="12" width="9.8515625" style="352" customWidth="1"/>
    <col min="13" max="13" width="11.7109375" style="352" customWidth="1"/>
    <col min="14" max="14" width="12.421875" style="352" customWidth="1"/>
    <col min="15" max="15" width="13.140625" style="352" customWidth="1"/>
    <col min="16" max="16" width="14.28125" style="352" customWidth="1"/>
    <col min="17" max="17" width="14.57421875" style="352" customWidth="1"/>
    <col min="18" max="18" width="11.421875" style="608" customWidth="1"/>
    <col min="19" max="19" width="12.7109375" style="608" customWidth="1"/>
    <col min="20" max="31" width="11.421875" style="608" customWidth="1"/>
    <col min="32" max="16384" width="11.421875" style="352" customWidth="1"/>
  </cols>
  <sheetData>
    <row r="2" ht="20.25">
      <c r="A2" s="605" t="s">
        <v>326</v>
      </c>
    </row>
    <row r="4" spans="1:28" ht="20.25">
      <c r="A4" s="605" t="s">
        <v>322</v>
      </c>
      <c r="D4" s="576"/>
      <c r="E4" s="606"/>
      <c r="F4" s="606"/>
      <c r="G4" s="606"/>
      <c r="H4" s="606"/>
      <c r="I4" s="606"/>
      <c r="J4" s="606"/>
      <c r="K4" s="607"/>
      <c r="L4" s="607"/>
      <c r="M4" s="607"/>
      <c r="N4" s="607"/>
      <c r="O4" s="607"/>
      <c r="Q4" s="701"/>
      <c r="R4" s="702"/>
      <c r="S4" s="702"/>
      <c r="T4" s="702"/>
      <c r="U4" s="702"/>
      <c r="V4" s="702"/>
      <c r="W4" s="702"/>
      <c r="X4" s="702"/>
      <c r="Y4" s="702"/>
      <c r="Z4" s="702"/>
      <c r="AA4" s="702"/>
      <c r="AB4" s="702"/>
    </row>
    <row r="5" spans="2:28" ht="12.75">
      <c r="B5" s="424"/>
      <c r="O5" s="609"/>
      <c r="Q5" s="701"/>
      <c r="R5" s="702"/>
      <c r="S5" s="702"/>
      <c r="T5" s="702"/>
      <c r="U5" s="702"/>
      <c r="V5" s="702"/>
      <c r="W5" s="702"/>
      <c r="X5" s="702"/>
      <c r="Y5" s="702"/>
      <c r="Z5" s="702"/>
      <c r="AA5" s="702"/>
      <c r="AB5" s="702"/>
    </row>
    <row r="6" spans="17:28" ht="13.5" thickBot="1">
      <c r="Q6" s="702"/>
      <c r="R6" s="702"/>
      <c r="S6" s="702"/>
      <c r="T6" s="702"/>
      <c r="U6" s="702"/>
      <c r="V6" s="702"/>
      <c r="W6" s="702"/>
      <c r="X6" s="702"/>
      <c r="Y6" s="702"/>
      <c r="Z6" s="702"/>
      <c r="AA6" s="702"/>
      <c r="AB6" s="702"/>
    </row>
    <row r="7" spans="2:28" ht="12.75">
      <c r="B7" s="1218" t="s">
        <v>18</v>
      </c>
      <c r="C7" s="1033"/>
      <c r="D7" s="1311" t="s">
        <v>266</v>
      </c>
      <c r="E7" s="1312"/>
      <c r="F7" s="1312"/>
      <c r="G7" s="1313"/>
      <c r="H7" s="1220" t="s">
        <v>267</v>
      </c>
      <c r="I7" s="1312"/>
      <c r="J7" s="1312"/>
      <c r="K7" s="1313"/>
      <c r="L7" s="1220" t="s">
        <v>268</v>
      </c>
      <c r="M7" s="1312"/>
      <c r="N7" s="1312"/>
      <c r="O7" s="1314"/>
      <c r="P7" s="1315" t="s">
        <v>269</v>
      </c>
      <c r="Q7" s="703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</row>
    <row r="8" spans="2:28" ht="12.75" customHeight="1">
      <c r="B8" s="1219"/>
      <c r="C8" s="1034" t="s">
        <v>270</v>
      </c>
      <c r="D8" s="1035" t="s">
        <v>0</v>
      </c>
      <c r="E8" s="1036" t="s">
        <v>11</v>
      </c>
      <c r="F8" s="1037" t="s">
        <v>67</v>
      </c>
      <c r="G8" s="1038" t="s">
        <v>10</v>
      </c>
      <c r="H8" s="1039" t="s">
        <v>0</v>
      </c>
      <c r="I8" s="1040" t="s">
        <v>11</v>
      </c>
      <c r="J8" s="1041" t="s">
        <v>67</v>
      </c>
      <c r="K8" s="1040" t="s">
        <v>10</v>
      </c>
      <c r="L8" s="1039" t="s">
        <v>0</v>
      </c>
      <c r="M8" s="1042" t="s">
        <v>11</v>
      </c>
      <c r="N8" s="1041" t="s">
        <v>67</v>
      </c>
      <c r="O8" s="1043" t="s">
        <v>10</v>
      </c>
      <c r="P8" s="1316"/>
      <c r="Q8" s="704"/>
      <c r="R8" s="702"/>
      <c r="S8" s="702"/>
      <c r="T8" s="702"/>
      <c r="U8" s="702"/>
      <c r="V8" s="702"/>
      <c r="W8" s="702"/>
      <c r="X8" s="702"/>
      <c r="Y8" s="702"/>
      <c r="Z8" s="702"/>
      <c r="AA8" s="702"/>
      <c r="AB8" s="702"/>
    </row>
    <row r="9" spans="2:28" ht="12.75">
      <c r="B9" s="949"/>
      <c r="C9" s="1044" t="s">
        <v>0</v>
      </c>
      <c r="D9" s="1045"/>
      <c r="E9" s="1046"/>
      <c r="F9" s="1047"/>
      <c r="G9" s="1048"/>
      <c r="H9" s="1049"/>
      <c r="I9" s="1050"/>
      <c r="J9" s="1051"/>
      <c r="K9" s="1050"/>
      <c r="L9" s="1052"/>
      <c r="M9" s="1053"/>
      <c r="N9" s="1051"/>
      <c r="O9" s="1054"/>
      <c r="P9" s="1317"/>
      <c r="Q9" s="704"/>
      <c r="R9" s="702"/>
      <c r="S9" s="705" t="s">
        <v>0</v>
      </c>
      <c r="T9" s="702" t="s">
        <v>271</v>
      </c>
      <c r="U9" s="702" t="s">
        <v>205</v>
      </c>
      <c r="V9" s="702"/>
      <c r="W9" s="702"/>
      <c r="X9" s="702"/>
      <c r="Y9" s="702"/>
      <c r="Z9" s="702"/>
      <c r="AA9" s="702"/>
      <c r="AB9" s="702"/>
    </row>
    <row r="10" spans="2:28" ht="12.75">
      <c r="B10" s="610"/>
      <c r="C10" s="611"/>
      <c r="D10" s="612"/>
      <c r="E10" s="613"/>
      <c r="F10" s="614"/>
      <c r="G10" s="615"/>
      <c r="H10" s="616"/>
      <c r="I10" s="613"/>
      <c r="J10" s="614"/>
      <c r="K10" s="613"/>
      <c r="L10" s="616"/>
      <c r="M10" s="617"/>
      <c r="N10" s="614"/>
      <c r="O10" s="618"/>
      <c r="P10" s="619"/>
      <c r="Q10" s="704"/>
      <c r="R10" s="702"/>
      <c r="S10" s="705"/>
      <c r="T10" s="702"/>
      <c r="U10" s="702"/>
      <c r="V10" s="702"/>
      <c r="W10" s="702"/>
      <c r="X10" s="702"/>
      <c r="Y10" s="702"/>
      <c r="Z10" s="702"/>
      <c r="AA10" s="702"/>
      <c r="AB10" s="702"/>
    </row>
    <row r="11" spans="2:28" ht="12.75">
      <c r="B11" s="620">
        <v>1995</v>
      </c>
      <c r="C11" s="621">
        <f>+D11+P11</f>
        <v>295.166629</v>
      </c>
      <c r="D11" s="622">
        <f>E11+F11+G11</f>
        <v>220.87862900000002</v>
      </c>
      <c r="E11" s="623">
        <f aca="true" t="shared" si="0" ref="E11:G26">+I11+M11</f>
        <v>46.06673899999999</v>
      </c>
      <c r="F11" s="624">
        <f t="shared" si="0"/>
        <v>11.41265</v>
      </c>
      <c r="G11" s="625">
        <f t="shared" si="0"/>
        <v>163.39924000000002</v>
      </c>
      <c r="H11" s="626">
        <f>+I11+J11+K11</f>
        <v>154.712999</v>
      </c>
      <c r="I11" s="623">
        <v>38.418108999999994</v>
      </c>
      <c r="J11" s="624">
        <v>11.41265</v>
      </c>
      <c r="K11" s="623">
        <v>104.88224000000001</v>
      </c>
      <c r="L11" s="626">
        <f>+M11+N11+O11</f>
        <v>66.16563000000001</v>
      </c>
      <c r="M11" s="627">
        <v>7.64863</v>
      </c>
      <c r="N11" s="624"/>
      <c r="O11" s="628">
        <v>58.517</v>
      </c>
      <c r="P11" s="629">
        <v>74.288</v>
      </c>
      <c r="Q11" s="706"/>
      <c r="R11" s="702">
        <v>1995</v>
      </c>
      <c r="S11" s="707">
        <f>D11</f>
        <v>220.87862900000002</v>
      </c>
      <c r="T11" s="708">
        <f>H11</f>
        <v>154.712999</v>
      </c>
      <c r="U11" s="708">
        <f>L11</f>
        <v>66.16563000000001</v>
      </c>
      <c r="V11" s="708"/>
      <c r="W11" s="702"/>
      <c r="X11" s="702"/>
      <c r="Y11" s="702"/>
      <c r="Z11" s="702"/>
      <c r="AA11" s="702"/>
      <c r="AB11" s="702"/>
    </row>
    <row r="12" spans="2:28" ht="12.75">
      <c r="B12" s="630">
        <v>1996</v>
      </c>
      <c r="C12" s="631">
        <f>+D12+P12</f>
        <v>508.847377</v>
      </c>
      <c r="D12" s="632">
        <f>+E12+F12+G12</f>
        <v>372.897377</v>
      </c>
      <c r="E12" s="633">
        <f t="shared" si="0"/>
        <v>163.01889699999998</v>
      </c>
      <c r="F12" s="634">
        <f t="shared" si="0"/>
        <v>16.601</v>
      </c>
      <c r="G12" s="635">
        <f t="shared" si="0"/>
        <v>193.27748000000003</v>
      </c>
      <c r="H12" s="636">
        <f>+I12+J12+K12</f>
        <v>176.976207</v>
      </c>
      <c r="I12" s="633">
        <v>65.26743699999999</v>
      </c>
      <c r="J12" s="634">
        <v>16.601</v>
      </c>
      <c r="K12" s="633">
        <v>95.10777</v>
      </c>
      <c r="L12" s="636">
        <f>+M12+N12+O12</f>
        <v>195.92117000000002</v>
      </c>
      <c r="M12" s="637">
        <v>97.75146000000001</v>
      </c>
      <c r="N12" s="634"/>
      <c r="O12" s="638">
        <v>98.16971000000001</v>
      </c>
      <c r="P12" s="619">
        <v>135.95</v>
      </c>
      <c r="Q12" s="706"/>
      <c r="R12" s="702">
        <v>1996</v>
      </c>
      <c r="S12" s="707">
        <f aca="true" t="shared" si="1" ref="S12:S25">D12</f>
        <v>372.897377</v>
      </c>
      <c r="T12" s="708">
        <f aca="true" t="shared" si="2" ref="T12:T25">H12</f>
        <v>176.976207</v>
      </c>
      <c r="U12" s="708">
        <f aca="true" t="shared" si="3" ref="U12:U25">L12</f>
        <v>195.92117000000002</v>
      </c>
      <c r="V12" s="708"/>
      <c r="W12" s="702"/>
      <c r="X12" s="702"/>
      <c r="Y12" s="702"/>
      <c r="Z12" s="702"/>
      <c r="AA12" s="702"/>
      <c r="AB12" s="702"/>
    </row>
    <row r="13" spans="2:28" ht="12.75">
      <c r="B13" s="620">
        <v>1997</v>
      </c>
      <c r="C13" s="621">
        <f aca="true" t="shared" si="4" ref="C13:C20">+D13+P13</f>
        <v>594.183881</v>
      </c>
      <c r="D13" s="622">
        <f aca="true" t="shared" si="5" ref="D13:D27">+E13+F13+G13</f>
        <v>547.625881</v>
      </c>
      <c r="E13" s="623">
        <f t="shared" si="0"/>
        <v>343.444131</v>
      </c>
      <c r="F13" s="624">
        <f t="shared" si="0"/>
        <v>32.72078</v>
      </c>
      <c r="G13" s="625">
        <f t="shared" si="0"/>
        <v>171.46097</v>
      </c>
      <c r="H13" s="626">
        <f aca="true" t="shared" si="6" ref="H13:H27">+I13+J13+K13</f>
        <v>207.889966</v>
      </c>
      <c r="I13" s="623">
        <v>103.237176</v>
      </c>
      <c r="J13" s="624">
        <v>32.72078</v>
      </c>
      <c r="K13" s="623">
        <v>71.93200999999999</v>
      </c>
      <c r="L13" s="626">
        <f aca="true" t="shared" si="7" ref="L13:L27">+M13+N13+O13</f>
        <v>339.73591500000003</v>
      </c>
      <c r="M13" s="627">
        <v>240.20695500000002</v>
      </c>
      <c r="N13" s="624"/>
      <c r="O13" s="628">
        <v>99.52896000000001</v>
      </c>
      <c r="P13" s="629">
        <v>46.558</v>
      </c>
      <c r="Q13" s="709"/>
      <c r="R13" s="702">
        <v>1997</v>
      </c>
      <c r="S13" s="707">
        <f t="shared" si="1"/>
        <v>547.625881</v>
      </c>
      <c r="T13" s="708">
        <f t="shared" si="2"/>
        <v>207.889966</v>
      </c>
      <c r="U13" s="708">
        <f t="shared" si="3"/>
        <v>339.73591500000003</v>
      </c>
      <c r="V13" s="708"/>
      <c r="W13" s="702"/>
      <c r="X13" s="702"/>
      <c r="Y13" s="702"/>
      <c r="Z13" s="702"/>
      <c r="AA13" s="702"/>
      <c r="AB13" s="702"/>
    </row>
    <row r="14" spans="2:28" ht="12.75">
      <c r="B14" s="630">
        <v>1998</v>
      </c>
      <c r="C14" s="631">
        <f t="shared" si="4"/>
        <v>612.999431</v>
      </c>
      <c r="D14" s="632">
        <f t="shared" si="5"/>
        <v>561.511431</v>
      </c>
      <c r="E14" s="633">
        <f t="shared" si="0"/>
        <v>365.363241</v>
      </c>
      <c r="F14" s="634">
        <f t="shared" si="0"/>
        <v>59.643269999999994</v>
      </c>
      <c r="G14" s="635">
        <f t="shared" si="0"/>
        <v>136.50492</v>
      </c>
      <c r="H14" s="636">
        <f t="shared" si="6"/>
        <v>202.79134299999998</v>
      </c>
      <c r="I14" s="633">
        <v>114.539113</v>
      </c>
      <c r="J14" s="634">
        <v>46.155269999999994</v>
      </c>
      <c r="K14" s="633">
        <v>42.096959999999996</v>
      </c>
      <c r="L14" s="636">
        <f t="shared" si="7"/>
        <v>358.72008800000003</v>
      </c>
      <c r="M14" s="637">
        <v>250.824128</v>
      </c>
      <c r="N14" s="634">
        <v>13.488</v>
      </c>
      <c r="O14" s="638">
        <v>94.40796</v>
      </c>
      <c r="P14" s="619">
        <v>51.488</v>
      </c>
      <c r="Q14" s="709"/>
      <c r="R14" s="702">
        <v>1998</v>
      </c>
      <c r="S14" s="707">
        <f t="shared" si="1"/>
        <v>561.511431</v>
      </c>
      <c r="T14" s="708">
        <f t="shared" si="2"/>
        <v>202.79134299999998</v>
      </c>
      <c r="U14" s="708">
        <f t="shared" si="3"/>
        <v>358.72008800000003</v>
      </c>
      <c r="V14" s="708"/>
      <c r="W14" s="702"/>
      <c r="X14" s="702"/>
      <c r="Y14" s="702"/>
      <c r="Z14" s="702"/>
      <c r="AA14" s="702"/>
      <c r="AB14" s="702"/>
    </row>
    <row r="15" spans="2:28" ht="12.75">
      <c r="B15" s="620">
        <v>1999</v>
      </c>
      <c r="C15" s="621">
        <f t="shared" si="4"/>
        <v>764.1792280118343</v>
      </c>
      <c r="D15" s="622">
        <f t="shared" si="5"/>
        <v>709.5392280118343</v>
      </c>
      <c r="E15" s="623">
        <f t="shared" si="0"/>
        <v>417.232328</v>
      </c>
      <c r="F15" s="624">
        <f t="shared" si="0"/>
        <v>170.80662</v>
      </c>
      <c r="G15" s="625">
        <f t="shared" si="0"/>
        <v>121.50028001183432</v>
      </c>
      <c r="H15" s="626">
        <f t="shared" si="6"/>
        <v>201.72455901183432</v>
      </c>
      <c r="I15" s="623">
        <v>136.331909</v>
      </c>
      <c r="J15" s="624">
        <v>31.3179</v>
      </c>
      <c r="K15" s="623">
        <v>34.07475001183432</v>
      </c>
      <c r="L15" s="626">
        <f t="shared" si="7"/>
        <v>507.814669</v>
      </c>
      <c r="M15" s="627">
        <v>280.900419</v>
      </c>
      <c r="N15" s="624">
        <v>139.48872</v>
      </c>
      <c r="O15" s="628">
        <v>87.42553</v>
      </c>
      <c r="P15" s="629">
        <v>54.64</v>
      </c>
      <c r="Q15" s="709"/>
      <c r="R15" s="702">
        <v>1999</v>
      </c>
      <c r="S15" s="707">
        <f t="shared" si="1"/>
        <v>709.5392280118343</v>
      </c>
      <c r="T15" s="708">
        <f t="shared" si="2"/>
        <v>201.72455901183432</v>
      </c>
      <c r="U15" s="708">
        <f t="shared" si="3"/>
        <v>507.814669</v>
      </c>
      <c r="V15" s="708"/>
      <c r="W15" s="702"/>
      <c r="X15" s="702"/>
      <c r="Y15" s="702"/>
      <c r="Z15" s="702"/>
      <c r="AA15" s="702"/>
      <c r="AB15" s="702"/>
    </row>
    <row r="16" spans="2:28" ht="12.75">
      <c r="B16" s="630">
        <v>2000</v>
      </c>
      <c r="C16" s="631">
        <f t="shared" si="4"/>
        <v>659.2139999999999</v>
      </c>
      <c r="D16" s="632">
        <f t="shared" si="5"/>
        <v>605.803</v>
      </c>
      <c r="E16" s="633">
        <f t="shared" si="0"/>
        <v>337.658</v>
      </c>
      <c r="F16" s="634">
        <f t="shared" si="0"/>
        <v>128.939</v>
      </c>
      <c r="G16" s="635">
        <f t="shared" si="0"/>
        <v>139.206</v>
      </c>
      <c r="H16" s="636">
        <f t="shared" si="6"/>
        <v>165.994</v>
      </c>
      <c r="I16" s="633">
        <v>123.216</v>
      </c>
      <c r="J16" s="634">
        <v>26.69</v>
      </c>
      <c r="K16" s="633">
        <v>16.088</v>
      </c>
      <c r="L16" s="636">
        <f t="shared" si="7"/>
        <v>439.809</v>
      </c>
      <c r="M16" s="637">
        <v>214.442</v>
      </c>
      <c r="N16" s="639">
        <v>102.249</v>
      </c>
      <c r="O16" s="638">
        <v>123.118</v>
      </c>
      <c r="P16" s="619">
        <v>53.411</v>
      </c>
      <c r="Q16" s="709"/>
      <c r="R16" s="702">
        <v>2000</v>
      </c>
      <c r="S16" s="707">
        <f t="shared" si="1"/>
        <v>605.803</v>
      </c>
      <c r="T16" s="708">
        <f t="shared" si="2"/>
        <v>165.994</v>
      </c>
      <c r="U16" s="708">
        <f t="shared" si="3"/>
        <v>439.809</v>
      </c>
      <c r="V16" s="708"/>
      <c r="W16" s="702"/>
      <c r="X16" s="702"/>
      <c r="Y16" s="702"/>
      <c r="Z16" s="702"/>
      <c r="AA16" s="702"/>
      <c r="AB16" s="702"/>
    </row>
    <row r="17" spans="2:28" ht="12.75">
      <c r="B17" s="640" t="s">
        <v>272</v>
      </c>
      <c r="C17" s="621">
        <f t="shared" si="4"/>
        <v>351.06397000000004</v>
      </c>
      <c r="D17" s="622">
        <f t="shared" si="5"/>
        <v>305.89697</v>
      </c>
      <c r="E17" s="623">
        <f t="shared" si="0"/>
        <v>109.77217999999999</v>
      </c>
      <c r="F17" s="624">
        <f t="shared" si="0"/>
        <v>61.743</v>
      </c>
      <c r="G17" s="625">
        <f t="shared" si="0"/>
        <v>134.38179</v>
      </c>
      <c r="H17" s="626">
        <f t="shared" si="6"/>
        <v>95.05868</v>
      </c>
      <c r="I17" s="623">
        <v>76.27708</v>
      </c>
      <c r="J17" s="624">
        <v>3.116</v>
      </c>
      <c r="K17" s="623">
        <v>15.6656</v>
      </c>
      <c r="L17" s="626">
        <f t="shared" si="7"/>
        <v>210.83829</v>
      </c>
      <c r="M17" s="627">
        <v>33.4951</v>
      </c>
      <c r="N17" s="641">
        <v>58.627</v>
      </c>
      <c r="O17" s="628">
        <v>118.71619</v>
      </c>
      <c r="P17" s="629">
        <v>45.167</v>
      </c>
      <c r="Q17" s="709"/>
      <c r="R17" s="702">
        <v>2001</v>
      </c>
      <c r="S17" s="707">
        <f t="shared" si="1"/>
        <v>305.89697</v>
      </c>
      <c r="T17" s="708">
        <f t="shared" si="2"/>
        <v>95.05868</v>
      </c>
      <c r="U17" s="708">
        <f t="shared" si="3"/>
        <v>210.83829</v>
      </c>
      <c r="V17" s="708"/>
      <c r="W17" s="702"/>
      <c r="X17" s="702"/>
      <c r="Y17" s="702"/>
      <c r="Z17" s="702"/>
      <c r="AA17" s="702"/>
      <c r="AB17" s="702"/>
    </row>
    <row r="18" spans="2:28" ht="12.75">
      <c r="B18" s="630">
        <v>2002</v>
      </c>
      <c r="C18" s="631">
        <f t="shared" si="4"/>
        <v>259.529</v>
      </c>
      <c r="D18" s="632">
        <f t="shared" si="5"/>
        <v>242.199</v>
      </c>
      <c r="E18" s="633">
        <f t="shared" si="0"/>
        <v>107.84</v>
      </c>
      <c r="F18" s="634">
        <f t="shared" si="0"/>
        <v>37.657000000000004</v>
      </c>
      <c r="G18" s="635">
        <f t="shared" si="0"/>
        <v>96.702</v>
      </c>
      <c r="H18" s="636">
        <f t="shared" si="6"/>
        <v>109.856</v>
      </c>
      <c r="I18" s="633">
        <v>77.798</v>
      </c>
      <c r="J18" s="634">
        <v>0.377</v>
      </c>
      <c r="K18" s="633">
        <v>31.681</v>
      </c>
      <c r="L18" s="636">
        <f t="shared" si="7"/>
        <v>132.34300000000002</v>
      </c>
      <c r="M18" s="637">
        <v>30.042</v>
      </c>
      <c r="N18" s="639">
        <v>37.28</v>
      </c>
      <c r="O18" s="638">
        <v>65.021</v>
      </c>
      <c r="P18" s="619">
        <v>17.33</v>
      </c>
      <c r="Q18" s="710"/>
      <c r="R18" s="702">
        <v>2002</v>
      </c>
      <c r="S18" s="707">
        <f t="shared" si="1"/>
        <v>242.199</v>
      </c>
      <c r="T18" s="708">
        <f t="shared" si="2"/>
        <v>109.856</v>
      </c>
      <c r="U18" s="708">
        <f t="shared" si="3"/>
        <v>132.34300000000002</v>
      </c>
      <c r="V18" s="708"/>
      <c r="W18" s="702"/>
      <c r="X18" s="702"/>
      <c r="Y18" s="702"/>
      <c r="Z18" s="702"/>
      <c r="AA18" s="702"/>
      <c r="AB18" s="702"/>
    </row>
    <row r="19" spans="2:28" ht="12.75">
      <c r="B19" s="620">
        <v>2003</v>
      </c>
      <c r="C19" s="621">
        <f>+D19+P19</f>
        <v>235.385</v>
      </c>
      <c r="D19" s="622">
        <f>+E19+F19+G19</f>
        <v>191.957</v>
      </c>
      <c r="E19" s="623">
        <f>+I19+M19</f>
        <v>87.165</v>
      </c>
      <c r="F19" s="624">
        <f>+J19+N19</f>
        <v>12.826</v>
      </c>
      <c r="G19" s="625">
        <f>+K19+O19</f>
        <v>91.966</v>
      </c>
      <c r="H19" s="626">
        <f>+I19+J19+K19</f>
        <v>110.832</v>
      </c>
      <c r="I19" s="623">
        <v>67.105</v>
      </c>
      <c r="J19" s="624"/>
      <c r="K19" s="623">
        <v>43.727</v>
      </c>
      <c r="L19" s="626">
        <f>+M19+N19+O19</f>
        <v>81.125</v>
      </c>
      <c r="M19" s="627">
        <v>20.06</v>
      </c>
      <c r="N19" s="641">
        <v>12.826</v>
      </c>
      <c r="O19" s="628">
        <v>48.239</v>
      </c>
      <c r="P19" s="629">
        <v>43.428</v>
      </c>
      <c r="Q19" s="701"/>
      <c r="R19" s="702">
        <v>2003</v>
      </c>
      <c r="S19" s="707">
        <f t="shared" si="1"/>
        <v>191.957</v>
      </c>
      <c r="T19" s="708">
        <f t="shared" si="2"/>
        <v>110.832</v>
      </c>
      <c r="U19" s="708">
        <f t="shared" si="3"/>
        <v>81.125</v>
      </c>
      <c r="V19" s="708"/>
      <c r="W19" s="702"/>
      <c r="X19" s="702"/>
      <c r="Y19" s="702"/>
      <c r="Z19" s="702"/>
      <c r="AA19" s="702"/>
      <c r="AB19" s="702"/>
    </row>
    <row r="20" spans="2:28" ht="12.75">
      <c r="B20" s="630">
        <v>2004</v>
      </c>
      <c r="C20" s="631">
        <f t="shared" si="4"/>
        <v>323.773</v>
      </c>
      <c r="D20" s="632">
        <f t="shared" si="5"/>
        <v>284.69500000000005</v>
      </c>
      <c r="E20" s="633">
        <f t="shared" si="0"/>
        <v>159.566</v>
      </c>
      <c r="F20" s="634">
        <f t="shared" si="0"/>
        <v>24.366</v>
      </c>
      <c r="G20" s="633">
        <f t="shared" si="0"/>
        <v>100.763</v>
      </c>
      <c r="H20" s="636">
        <f t="shared" si="6"/>
        <v>116.143</v>
      </c>
      <c r="I20" s="633">
        <v>67.001</v>
      </c>
      <c r="J20" s="634"/>
      <c r="K20" s="633">
        <v>49.142</v>
      </c>
      <c r="L20" s="636">
        <f t="shared" si="7"/>
        <v>168.552</v>
      </c>
      <c r="M20" s="633">
        <v>92.565</v>
      </c>
      <c r="N20" s="639">
        <v>24.366</v>
      </c>
      <c r="O20" s="638">
        <v>51.621</v>
      </c>
      <c r="P20" s="619">
        <v>39.078</v>
      </c>
      <c r="Q20" s="701"/>
      <c r="R20" s="702">
        <v>2004</v>
      </c>
      <c r="S20" s="707">
        <f t="shared" si="1"/>
        <v>284.69500000000005</v>
      </c>
      <c r="T20" s="708">
        <f t="shared" si="2"/>
        <v>116.143</v>
      </c>
      <c r="U20" s="708">
        <f t="shared" si="3"/>
        <v>168.552</v>
      </c>
      <c r="V20" s="708"/>
      <c r="W20" s="702"/>
      <c r="X20" s="702"/>
      <c r="Y20" s="702"/>
      <c r="Z20" s="702"/>
      <c r="AA20" s="702"/>
      <c r="AB20" s="702"/>
    </row>
    <row r="21" spans="2:28" ht="12.75">
      <c r="B21" s="620">
        <v>2005</v>
      </c>
      <c r="C21" s="621">
        <f>+D21+P21</f>
        <v>393.73589000000004</v>
      </c>
      <c r="D21" s="622">
        <f t="shared" si="5"/>
        <v>348.49189</v>
      </c>
      <c r="E21" s="623">
        <f t="shared" si="0"/>
        <v>193.49135</v>
      </c>
      <c r="F21" s="624">
        <f t="shared" si="0"/>
        <v>20.6339</v>
      </c>
      <c r="G21" s="623">
        <f t="shared" si="0"/>
        <v>134.36664</v>
      </c>
      <c r="H21" s="626">
        <f t="shared" si="6"/>
        <v>117.43027</v>
      </c>
      <c r="I21" s="623">
        <v>53.766709999999996</v>
      </c>
      <c r="J21" s="624"/>
      <c r="K21" s="623">
        <v>63.66356</v>
      </c>
      <c r="L21" s="626">
        <f t="shared" si="7"/>
        <v>231.06162000000003</v>
      </c>
      <c r="M21" s="623">
        <v>139.72464000000002</v>
      </c>
      <c r="N21" s="641">
        <v>20.6339</v>
      </c>
      <c r="O21" s="628">
        <v>70.70308</v>
      </c>
      <c r="P21" s="629">
        <v>45.244</v>
      </c>
      <c r="Q21" s="701"/>
      <c r="R21" s="702">
        <v>2005</v>
      </c>
      <c r="S21" s="707">
        <f t="shared" si="1"/>
        <v>348.49189</v>
      </c>
      <c r="T21" s="708">
        <f t="shared" si="2"/>
        <v>117.43027</v>
      </c>
      <c r="U21" s="708">
        <f t="shared" si="3"/>
        <v>231.06162000000003</v>
      </c>
      <c r="V21" s="708"/>
      <c r="W21" s="702"/>
      <c r="X21" s="702"/>
      <c r="Y21" s="702"/>
      <c r="Z21" s="702"/>
      <c r="AA21" s="702"/>
      <c r="AB21" s="702"/>
    </row>
    <row r="22" spans="2:28" ht="12.75">
      <c r="B22" s="630">
        <v>2006</v>
      </c>
      <c r="C22" s="631">
        <f>+D22+P22</f>
        <v>480.15700000000004</v>
      </c>
      <c r="D22" s="632">
        <f t="shared" si="5"/>
        <v>446.204</v>
      </c>
      <c r="E22" s="633">
        <f t="shared" si="0"/>
        <v>289.575</v>
      </c>
      <c r="F22" s="634">
        <f t="shared" si="0"/>
        <v>16.543</v>
      </c>
      <c r="G22" s="633">
        <f t="shared" si="0"/>
        <v>140.086</v>
      </c>
      <c r="H22" s="636">
        <f t="shared" si="6"/>
        <v>95.745</v>
      </c>
      <c r="I22" s="633">
        <v>29.198</v>
      </c>
      <c r="J22" s="634"/>
      <c r="K22" s="633">
        <v>66.547</v>
      </c>
      <c r="L22" s="636">
        <f t="shared" si="7"/>
        <v>350.459</v>
      </c>
      <c r="M22" s="633">
        <v>260.377</v>
      </c>
      <c r="N22" s="639">
        <v>16.543</v>
      </c>
      <c r="O22" s="638">
        <v>73.539</v>
      </c>
      <c r="P22" s="619">
        <v>33.953</v>
      </c>
      <c r="Q22" s="701"/>
      <c r="R22" s="711">
        <v>2006</v>
      </c>
      <c r="S22" s="707">
        <f t="shared" si="1"/>
        <v>446.204</v>
      </c>
      <c r="T22" s="708">
        <f t="shared" si="2"/>
        <v>95.745</v>
      </c>
      <c r="U22" s="708">
        <f t="shared" si="3"/>
        <v>350.459</v>
      </c>
      <c r="V22" s="708"/>
      <c r="W22" s="702"/>
      <c r="X22" s="702"/>
      <c r="Y22" s="702"/>
      <c r="Z22" s="702"/>
      <c r="AA22" s="702"/>
      <c r="AB22" s="702"/>
    </row>
    <row r="23" spans="2:28" ht="12.75">
      <c r="B23" s="620">
        <v>2007</v>
      </c>
      <c r="C23" s="621">
        <f>+D23+P23</f>
        <v>629.00013</v>
      </c>
      <c r="D23" s="622">
        <f t="shared" si="5"/>
        <v>539.07313</v>
      </c>
      <c r="E23" s="623">
        <f t="shared" si="0"/>
        <v>318.0303</v>
      </c>
      <c r="F23" s="624">
        <f t="shared" si="0"/>
        <v>69.63589999999999</v>
      </c>
      <c r="G23" s="623">
        <f t="shared" si="0"/>
        <v>151.40693</v>
      </c>
      <c r="H23" s="626">
        <f t="shared" si="6"/>
        <v>139.72556</v>
      </c>
      <c r="I23" s="623">
        <v>73.49929999999999</v>
      </c>
      <c r="J23" s="624"/>
      <c r="K23" s="623">
        <v>66.22626000000001</v>
      </c>
      <c r="L23" s="626">
        <f t="shared" si="7"/>
        <v>399.34757</v>
      </c>
      <c r="M23" s="623">
        <v>244.531</v>
      </c>
      <c r="N23" s="641">
        <v>69.63589999999999</v>
      </c>
      <c r="O23" s="628">
        <v>85.18066999999999</v>
      </c>
      <c r="P23" s="629">
        <v>89.927</v>
      </c>
      <c r="Q23" s="701"/>
      <c r="R23" s="711">
        <v>2007</v>
      </c>
      <c r="S23" s="707">
        <f t="shared" si="1"/>
        <v>539.07313</v>
      </c>
      <c r="T23" s="708">
        <f t="shared" si="2"/>
        <v>139.72556</v>
      </c>
      <c r="U23" s="708">
        <f t="shared" si="3"/>
        <v>399.34757</v>
      </c>
      <c r="V23" s="708"/>
      <c r="W23" s="702"/>
      <c r="X23" s="702"/>
      <c r="Y23" s="702"/>
      <c r="Z23" s="702"/>
      <c r="AA23" s="702"/>
      <c r="AB23" s="702"/>
    </row>
    <row r="24" spans="2:28" ht="12.75">
      <c r="B24" s="630">
        <v>2008</v>
      </c>
      <c r="C24" s="631">
        <f aca="true" t="shared" si="8" ref="C24:C29">D24+P24</f>
        <v>862.007</v>
      </c>
      <c r="D24" s="632">
        <f t="shared" si="5"/>
        <v>762.52</v>
      </c>
      <c r="E24" s="633">
        <f t="shared" si="0"/>
        <v>483.51</v>
      </c>
      <c r="F24" s="634">
        <f t="shared" si="0"/>
        <v>43.1</v>
      </c>
      <c r="G24" s="633">
        <f t="shared" si="0"/>
        <v>235.91</v>
      </c>
      <c r="H24" s="636">
        <f t="shared" si="6"/>
        <v>128.88</v>
      </c>
      <c r="I24" s="633">
        <v>26.5</v>
      </c>
      <c r="J24" s="634"/>
      <c r="K24" s="633">
        <v>102.38</v>
      </c>
      <c r="L24" s="636">
        <f t="shared" si="7"/>
        <v>633.64</v>
      </c>
      <c r="M24" s="633">
        <v>457.01</v>
      </c>
      <c r="N24" s="639">
        <v>43.1</v>
      </c>
      <c r="O24" s="638">
        <v>133.53</v>
      </c>
      <c r="P24" s="619">
        <v>99.487</v>
      </c>
      <c r="Q24" s="701"/>
      <c r="R24" s="711">
        <v>2008</v>
      </c>
      <c r="S24" s="707">
        <f t="shared" si="1"/>
        <v>762.52</v>
      </c>
      <c r="T24" s="708">
        <f t="shared" si="2"/>
        <v>128.88</v>
      </c>
      <c r="U24" s="708">
        <f t="shared" si="3"/>
        <v>633.64</v>
      </c>
      <c r="V24" s="708"/>
      <c r="W24" s="702"/>
      <c r="X24" s="702"/>
      <c r="Y24" s="702"/>
      <c r="Z24" s="702"/>
      <c r="AA24" s="702"/>
      <c r="AB24" s="702"/>
    </row>
    <row r="25" spans="2:28" ht="12.75">
      <c r="B25" s="642">
        <v>2009</v>
      </c>
      <c r="C25" s="621">
        <f t="shared" si="8"/>
        <v>1176.8417200000001</v>
      </c>
      <c r="D25" s="622">
        <f t="shared" si="5"/>
        <v>992.11972</v>
      </c>
      <c r="E25" s="623">
        <f t="shared" si="0"/>
        <v>448.38329999999996</v>
      </c>
      <c r="F25" s="624">
        <f t="shared" si="0"/>
        <v>254.363</v>
      </c>
      <c r="G25" s="623">
        <f t="shared" si="0"/>
        <v>289.37342</v>
      </c>
      <c r="H25" s="626">
        <f t="shared" si="6"/>
        <v>250.289</v>
      </c>
      <c r="I25" s="643">
        <v>88.849</v>
      </c>
      <c r="J25" s="644"/>
      <c r="K25" s="643">
        <v>161.44</v>
      </c>
      <c r="L25" s="626">
        <f t="shared" si="7"/>
        <v>741.8307199999999</v>
      </c>
      <c r="M25" s="643">
        <v>359.5343</v>
      </c>
      <c r="N25" s="645">
        <v>254.363</v>
      </c>
      <c r="O25" s="646">
        <v>127.93342</v>
      </c>
      <c r="P25" s="629">
        <v>184.722</v>
      </c>
      <c r="Q25" s="701"/>
      <c r="R25" s="711">
        <v>2009</v>
      </c>
      <c r="S25" s="707">
        <f t="shared" si="1"/>
        <v>992.11972</v>
      </c>
      <c r="T25" s="708">
        <f t="shared" si="2"/>
        <v>250.289</v>
      </c>
      <c r="U25" s="708">
        <f t="shared" si="3"/>
        <v>741.8307199999999</v>
      </c>
      <c r="V25" s="708"/>
      <c r="W25" s="702"/>
      <c r="X25" s="702"/>
      <c r="Y25" s="702"/>
      <c r="Z25" s="702"/>
      <c r="AA25" s="702"/>
      <c r="AB25" s="702"/>
    </row>
    <row r="26" spans="2:28" ht="12.75">
      <c r="B26" s="630">
        <v>2010</v>
      </c>
      <c r="C26" s="631">
        <f t="shared" si="8"/>
        <v>1367.7377822261485</v>
      </c>
      <c r="D26" s="632">
        <f t="shared" si="5"/>
        <v>1144.3617822261485</v>
      </c>
      <c r="E26" s="633">
        <f t="shared" si="0"/>
        <v>558.6333822261485</v>
      </c>
      <c r="F26" s="634">
        <f t="shared" si="0"/>
        <v>332.5572</v>
      </c>
      <c r="G26" s="633">
        <f t="shared" si="0"/>
        <v>253.1712</v>
      </c>
      <c r="H26" s="636">
        <f t="shared" si="6"/>
        <v>165.6105822261484</v>
      </c>
      <c r="I26" s="633">
        <v>25.11388222614841</v>
      </c>
      <c r="J26" s="634"/>
      <c r="K26" s="633">
        <v>140.4967</v>
      </c>
      <c r="L26" s="636">
        <f t="shared" si="7"/>
        <v>978.7512</v>
      </c>
      <c r="M26" s="633">
        <v>533.5195</v>
      </c>
      <c r="N26" s="639">
        <v>332.5572</v>
      </c>
      <c r="O26" s="638">
        <v>112.6745</v>
      </c>
      <c r="P26" s="619">
        <v>223.376</v>
      </c>
      <c r="Q26" s="701"/>
      <c r="R26" s="711">
        <v>2010</v>
      </c>
      <c r="S26" s="707">
        <f>D26</f>
        <v>1144.3617822261485</v>
      </c>
      <c r="T26" s="708">
        <f>H26</f>
        <v>165.6105822261484</v>
      </c>
      <c r="U26" s="708">
        <f>L26</f>
        <v>978.7512</v>
      </c>
      <c r="V26" s="708"/>
      <c r="W26" s="702"/>
      <c r="X26" s="702"/>
      <c r="Y26" s="702"/>
      <c r="Z26" s="702"/>
      <c r="AA26" s="702"/>
      <c r="AB26" s="702"/>
    </row>
    <row r="27" spans="2:31" s="647" customFormat="1" ht="12.75">
      <c r="B27" s="642">
        <v>2011</v>
      </c>
      <c r="C27" s="621">
        <f t="shared" si="8"/>
        <v>1880</v>
      </c>
      <c r="D27" s="622">
        <f t="shared" si="5"/>
        <v>1748.7</v>
      </c>
      <c r="E27" s="623">
        <f aca="true" t="shared" si="9" ref="E27:G28">+I27+M27</f>
        <v>1240.8</v>
      </c>
      <c r="F27" s="624">
        <f t="shared" si="9"/>
        <v>278.5</v>
      </c>
      <c r="G27" s="623">
        <f t="shared" si="9"/>
        <v>229.4</v>
      </c>
      <c r="H27" s="626">
        <f t="shared" si="6"/>
        <v>107</v>
      </c>
      <c r="I27" s="643">
        <v>28.6</v>
      </c>
      <c r="J27" s="644"/>
      <c r="K27" s="643">
        <v>78.4</v>
      </c>
      <c r="L27" s="626">
        <f t="shared" si="7"/>
        <v>1641.7</v>
      </c>
      <c r="M27" s="643">
        <v>1212.2</v>
      </c>
      <c r="N27" s="645">
        <v>278.5</v>
      </c>
      <c r="O27" s="646">
        <v>151</v>
      </c>
      <c r="P27" s="629">
        <v>131.3</v>
      </c>
      <c r="Q27" s="712"/>
      <c r="R27" s="711">
        <v>2011</v>
      </c>
      <c r="S27" s="707">
        <f>D27</f>
        <v>1748.7</v>
      </c>
      <c r="T27" s="708">
        <f>H27</f>
        <v>107</v>
      </c>
      <c r="U27" s="708">
        <f>L27</f>
        <v>1641.7</v>
      </c>
      <c r="V27" s="713"/>
      <c r="W27" s="714"/>
      <c r="X27" s="714"/>
      <c r="Y27" s="714"/>
      <c r="Z27" s="714"/>
      <c r="AA27" s="714"/>
      <c r="AB27" s="714"/>
      <c r="AC27" s="648"/>
      <c r="AD27" s="648"/>
      <c r="AE27" s="648"/>
    </row>
    <row r="28" spans="2:31" s="647" customFormat="1" ht="12.75">
      <c r="B28" s="630">
        <v>2012</v>
      </c>
      <c r="C28" s="631">
        <f t="shared" si="8"/>
        <v>2738.925069751822</v>
      </c>
      <c r="D28" s="632">
        <f>+E28+F28+G28</f>
        <v>2589.04386045</v>
      </c>
      <c r="E28" s="633">
        <f t="shared" si="9"/>
        <v>1781.40966045</v>
      </c>
      <c r="F28" s="634">
        <f t="shared" si="9"/>
        <v>470.27</v>
      </c>
      <c r="G28" s="633">
        <f t="shared" si="9"/>
        <v>337.36420000000004</v>
      </c>
      <c r="H28" s="636">
        <f>+I28+J28+K28</f>
        <v>121.623</v>
      </c>
      <c r="I28" s="633">
        <v>35.28</v>
      </c>
      <c r="J28" s="634"/>
      <c r="K28" s="633">
        <v>86.343</v>
      </c>
      <c r="L28" s="636">
        <f>+M28+N28+O28</f>
        <v>2467.42086045</v>
      </c>
      <c r="M28" s="633">
        <v>1746.12966045</v>
      </c>
      <c r="N28" s="639">
        <v>470.27</v>
      </c>
      <c r="O28" s="638">
        <v>251.02120000000002</v>
      </c>
      <c r="P28" s="619">
        <v>149.8812093018218</v>
      </c>
      <c r="Q28" s="712"/>
      <c r="R28" s="715">
        <v>2012</v>
      </c>
      <c r="S28" s="707">
        <f>D28</f>
        <v>2589.04386045</v>
      </c>
      <c r="T28" s="708">
        <f>H28</f>
        <v>121.623</v>
      </c>
      <c r="U28" s="708">
        <f>L28</f>
        <v>2467.42086045</v>
      </c>
      <c r="V28" s="713"/>
      <c r="W28" s="714"/>
      <c r="X28" s="714"/>
      <c r="Y28" s="714"/>
      <c r="Z28" s="714"/>
      <c r="AA28" s="714"/>
      <c r="AB28" s="714"/>
      <c r="AC28" s="648"/>
      <c r="AD28" s="648"/>
      <c r="AE28" s="648"/>
    </row>
    <row r="29" spans="2:31" s="647" customFormat="1" ht="12.75">
      <c r="B29" s="642">
        <v>2013</v>
      </c>
      <c r="C29" s="621">
        <f t="shared" si="8"/>
        <v>2589.028931898877</v>
      </c>
      <c r="D29" s="622">
        <f>+E29+F29+G29</f>
        <v>2439.6153999999997</v>
      </c>
      <c r="E29" s="623">
        <f aca="true" t="shared" si="10" ref="E29:G30">+I29+M29</f>
        <v>1829.8335</v>
      </c>
      <c r="F29" s="624">
        <f t="shared" si="10"/>
        <v>188.4134</v>
      </c>
      <c r="G29" s="623">
        <f t="shared" si="10"/>
        <v>421.36850000000004</v>
      </c>
      <c r="H29" s="626">
        <f>+I29+J29+K29</f>
        <v>209.3229</v>
      </c>
      <c r="I29" s="643">
        <v>65.2148</v>
      </c>
      <c r="J29" s="644"/>
      <c r="K29" s="643">
        <v>144.1081</v>
      </c>
      <c r="L29" s="626">
        <f>+M29+N29+O29</f>
        <v>2230.2925</v>
      </c>
      <c r="M29" s="643">
        <v>1764.6187</v>
      </c>
      <c r="N29" s="645">
        <v>188.4134</v>
      </c>
      <c r="O29" s="646">
        <v>277.2604</v>
      </c>
      <c r="P29" s="629">
        <v>149.41353189887735</v>
      </c>
      <c r="Q29" s="712"/>
      <c r="R29" s="715">
        <v>2013</v>
      </c>
      <c r="S29" s="707">
        <f>D29</f>
        <v>2439.6153999999997</v>
      </c>
      <c r="T29" s="708">
        <f>H29</f>
        <v>209.3229</v>
      </c>
      <c r="U29" s="708">
        <f>L29</f>
        <v>2230.2925</v>
      </c>
      <c r="V29" s="713"/>
      <c r="W29" s="714"/>
      <c r="X29" s="714"/>
      <c r="Y29" s="714"/>
      <c r="Z29" s="714"/>
      <c r="AA29" s="714"/>
      <c r="AB29" s="714"/>
      <c r="AC29" s="648"/>
      <c r="AD29" s="648"/>
      <c r="AE29" s="648"/>
    </row>
    <row r="30" spans="2:31" s="647" customFormat="1" ht="12.75">
      <c r="B30" s="649">
        <v>2014</v>
      </c>
      <c r="C30" s="631">
        <f>D30+P30</f>
        <v>2585.592481704157</v>
      </c>
      <c r="D30" s="632">
        <f>+E30+F30+G30</f>
        <v>2474.5684952176703</v>
      </c>
      <c r="E30" s="633">
        <f t="shared" si="10"/>
        <v>1829.2607998337028</v>
      </c>
      <c r="F30" s="634">
        <f t="shared" si="10"/>
        <v>244.01244188</v>
      </c>
      <c r="G30" s="633">
        <f t="shared" si="10"/>
        <v>401.2952535039676</v>
      </c>
      <c r="H30" s="636">
        <f>+I30+J30+K30</f>
        <v>178.3314935039677</v>
      </c>
      <c r="I30" s="633">
        <v>62.09052</v>
      </c>
      <c r="J30" s="634"/>
      <c r="K30" s="633">
        <v>116.24097350396768</v>
      </c>
      <c r="L30" s="636">
        <f>+M30+N30+O30</f>
        <v>2296.2370017137027</v>
      </c>
      <c r="M30" s="633">
        <v>1767.1702798337028</v>
      </c>
      <c r="N30" s="639">
        <v>244.01244188</v>
      </c>
      <c r="O30" s="638">
        <v>285.05427999999995</v>
      </c>
      <c r="P30" s="619">
        <v>111.02398648648649</v>
      </c>
      <c r="Q30" s="712"/>
      <c r="R30" s="716">
        <v>2014</v>
      </c>
      <c r="S30" s="707">
        <f>D30</f>
        <v>2474.5684952176703</v>
      </c>
      <c r="T30" s="708">
        <f>H30</f>
        <v>178.3314935039677</v>
      </c>
      <c r="U30" s="708">
        <f>L30</f>
        <v>2296.2370017137027</v>
      </c>
      <c r="V30" s="713"/>
      <c r="W30" s="714"/>
      <c r="X30" s="714"/>
      <c r="Y30" s="714"/>
      <c r="Z30" s="714"/>
      <c r="AA30" s="714"/>
      <c r="AB30" s="714"/>
      <c r="AC30" s="648"/>
      <c r="AD30" s="648"/>
      <c r="AE30" s="648"/>
    </row>
    <row r="31" spans="2:28" ht="13.5" thickBot="1">
      <c r="B31" s="650"/>
      <c r="C31" s="651"/>
      <c r="D31" s="652"/>
      <c r="E31" s="653"/>
      <c r="F31" s="654"/>
      <c r="G31" s="653"/>
      <c r="H31" s="655"/>
      <c r="I31" s="656"/>
      <c r="J31" s="657"/>
      <c r="K31" s="656"/>
      <c r="L31" s="655"/>
      <c r="M31" s="656"/>
      <c r="N31" s="658"/>
      <c r="O31" s="659"/>
      <c r="P31" s="660"/>
      <c r="Q31" s="701"/>
      <c r="R31" s="711"/>
      <c r="S31" s="707"/>
      <c r="T31" s="708"/>
      <c r="U31" s="708"/>
      <c r="V31" s="708"/>
      <c r="W31" s="702"/>
      <c r="X31" s="702"/>
      <c r="Y31" s="702"/>
      <c r="Z31" s="702"/>
      <c r="AA31" s="702"/>
      <c r="AB31" s="702"/>
    </row>
    <row r="32" spans="2:28" ht="12.75">
      <c r="B32" s="661" t="s">
        <v>273</v>
      </c>
      <c r="C32" s="700">
        <f>(C30/C29)-1</f>
        <v>-0.0013273123959258726</v>
      </c>
      <c r="D32" s="662">
        <f aca="true" t="shared" si="11" ref="D32:I32">(D30/D29)-1</f>
        <v>0.01432729733451854</v>
      </c>
      <c r="E32" s="663">
        <f t="shared" si="11"/>
        <v>-0.0003129793865382924</v>
      </c>
      <c r="F32" s="664">
        <f t="shared" si="11"/>
        <v>0.29509069885687556</v>
      </c>
      <c r="G32" s="663">
        <f t="shared" si="11"/>
        <v>-0.0476382228287886</v>
      </c>
      <c r="H32" s="665">
        <f t="shared" si="11"/>
        <v>-0.1480554994032297</v>
      </c>
      <c r="I32" s="666">
        <f t="shared" si="11"/>
        <v>-0.04790753019253302</v>
      </c>
      <c r="J32" s="667" t="s">
        <v>77</v>
      </c>
      <c r="K32" s="663">
        <f aca="true" t="shared" si="12" ref="K32:P32">(K30/K29)-1</f>
        <v>-0.19337654507992486</v>
      </c>
      <c r="L32" s="665">
        <f t="shared" si="12"/>
        <v>0.029567647164532307</v>
      </c>
      <c r="M32" s="663">
        <f t="shared" si="12"/>
        <v>0.0014459666746717836</v>
      </c>
      <c r="N32" s="664">
        <f t="shared" si="12"/>
        <v>0.29509069885687556</v>
      </c>
      <c r="O32" s="668">
        <f t="shared" si="12"/>
        <v>0.02811032516724321</v>
      </c>
      <c r="P32" s="669">
        <f t="shared" si="12"/>
        <v>-0.2569348634257089</v>
      </c>
      <c r="Q32" s="701"/>
      <c r="R32" s="702"/>
      <c r="S32" s="702"/>
      <c r="T32" s="702"/>
      <c r="U32" s="702"/>
      <c r="V32" s="702"/>
      <c r="W32" s="702"/>
      <c r="X32" s="702"/>
      <c r="Y32" s="702"/>
      <c r="Z32" s="702"/>
      <c r="AA32" s="702"/>
      <c r="AB32" s="702"/>
    </row>
    <row r="33" spans="2:28" ht="12.75">
      <c r="B33" s="670" t="s">
        <v>274</v>
      </c>
      <c r="C33" s="671">
        <f>((C30/C25)^(1/5))-1</f>
        <v>0.17049187677912148</v>
      </c>
      <c r="D33" s="672">
        <f aca="true" t="shared" si="13" ref="D33:I33">((D30/D25)^(1/5))-1</f>
        <v>0.20056887359300446</v>
      </c>
      <c r="E33" s="673">
        <f t="shared" si="13"/>
        <v>0.3247234975257234</v>
      </c>
      <c r="F33" s="674">
        <f t="shared" si="13"/>
        <v>-0.008274211772008933</v>
      </c>
      <c r="G33" s="673">
        <f t="shared" si="13"/>
        <v>0.06758159300082323</v>
      </c>
      <c r="H33" s="675">
        <f t="shared" si="13"/>
        <v>-0.06554744306192184</v>
      </c>
      <c r="I33" s="673">
        <f t="shared" si="13"/>
        <v>-0.06916104363398468</v>
      </c>
      <c r="J33" s="676" t="s">
        <v>77</v>
      </c>
      <c r="K33" s="673">
        <f aca="true" t="shared" si="14" ref="K33:P33">((K30/K25)^(1/5))-1</f>
        <v>-0.06358229168515217</v>
      </c>
      <c r="L33" s="675">
        <f t="shared" si="14"/>
        <v>0.25355207292472737</v>
      </c>
      <c r="M33" s="673">
        <f t="shared" si="14"/>
        <v>0.3750155639361936</v>
      </c>
      <c r="N33" s="674">
        <f t="shared" si="14"/>
        <v>-0.008274211772008933</v>
      </c>
      <c r="O33" s="677">
        <f t="shared" si="14"/>
        <v>0.17378542154679488</v>
      </c>
      <c r="P33" s="678">
        <f t="shared" si="14"/>
        <v>-0.09680892158706222</v>
      </c>
      <c r="Q33" s="701"/>
      <c r="R33" s="702"/>
      <c r="S33" s="702"/>
      <c r="T33" s="702"/>
      <c r="U33" s="702"/>
      <c r="V33" s="702"/>
      <c r="W33" s="702"/>
      <c r="X33" s="702"/>
      <c r="Y33" s="702"/>
      <c r="Z33" s="702"/>
      <c r="AA33" s="702"/>
      <c r="AB33" s="702"/>
    </row>
    <row r="34" spans="2:28" ht="12.75">
      <c r="B34" s="661" t="s">
        <v>275</v>
      </c>
      <c r="C34" s="679">
        <f>(C30/C20)-1</f>
        <v>6.985818711579276</v>
      </c>
      <c r="D34" s="680">
        <f aca="true" t="shared" si="15" ref="D34:I34">(D30/D20)-1</f>
        <v>7.691998437688298</v>
      </c>
      <c r="E34" s="681">
        <f t="shared" si="15"/>
        <v>10.463976033952738</v>
      </c>
      <c r="F34" s="682">
        <f t="shared" si="15"/>
        <v>9.01446449478782</v>
      </c>
      <c r="G34" s="681">
        <f t="shared" si="15"/>
        <v>2.9825655598182625</v>
      </c>
      <c r="H34" s="683">
        <f t="shared" si="15"/>
        <v>0.5354476249448326</v>
      </c>
      <c r="I34" s="681">
        <f t="shared" si="15"/>
        <v>-0.07328965239324792</v>
      </c>
      <c r="J34" s="667" t="s">
        <v>77</v>
      </c>
      <c r="K34" s="681">
        <f aca="true" t="shared" si="16" ref="K34:P34">(K30/K20)-1</f>
        <v>1.365409904032552</v>
      </c>
      <c r="L34" s="684">
        <f t="shared" si="16"/>
        <v>12.623315070208024</v>
      </c>
      <c r="M34" s="681">
        <f t="shared" si="16"/>
        <v>18.091128178401153</v>
      </c>
      <c r="N34" s="682">
        <f t="shared" si="16"/>
        <v>9.01446449478782</v>
      </c>
      <c r="O34" s="685">
        <f t="shared" si="16"/>
        <v>4.52206040177447</v>
      </c>
      <c r="P34" s="686">
        <f t="shared" si="16"/>
        <v>1.8410867108471898</v>
      </c>
      <c r="Q34" s="701"/>
      <c r="R34" s="1318"/>
      <c r="S34" s="702"/>
      <c r="T34" s="702"/>
      <c r="U34" s="702"/>
      <c r="V34" s="702"/>
      <c r="W34" s="702"/>
      <c r="X34" s="702"/>
      <c r="Y34" s="702"/>
      <c r="Z34" s="702"/>
      <c r="AA34" s="702"/>
      <c r="AB34" s="702"/>
    </row>
    <row r="35" spans="2:28" ht="13.5" thickBot="1">
      <c r="B35" s="687" t="s">
        <v>276</v>
      </c>
      <c r="C35" s="688">
        <f>((C30/C20)^(1/10))-1</f>
        <v>0.23092599888441545</v>
      </c>
      <c r="D35" s="689">
        <f aca="true" t="shared" si="17" ref="D35:I35">((D30/D20)^(1/10))-1</f>
        <v>0.24140063717089455</v>
      </c>
      <c r="E35" s="690">
        <f t="shared" si="17"/>
        <v>0.27624345221717594</v>
      </c>
      <c r="F35" s="691">
        <f t="shared" si="17"/>
        <v>0.25910739057572574</v>
      </c>
      <c r="G35" s="690">
        <f t="shared" si="17"/>
        <v>0.14819669745181918</v>
      </c>
      <c r="H35" s="692">
        <f t="shared" si="17"/>
        <v>0.04381492108137919</v>
      </c>
      <c r="I35" s="690">
        <f t="shared" si="17"/>
        <v>-0.007582528914788611</v>
      </c>
      <c r="J35" s="693" t="s">
        <v>77</v>
      </c>
      <c r="K35" s="690">
        <f aca="true" t="shared" si="18" ref="K35:P35">((K30/K20)^(1/10))-1</f>
        <v>0.08991000955004669</v>
      </c>
      <c r="L35" s="692">
        <f t="shared" si="18"/>
        <v>0.29845911699761785</v>
      </c>
      <c r="M35" s="690">
        <f t="shared" si="18"/>
        <v>0.34302210038217607</v>
      </c>
      <c r="N35" s="691">
        <f t="shared" si="18"/>
        <v>0.25910739057572574</v>
      </c>
      <c r="O35" s="694">
        <f t="shared" si="18"/>
        <v>0.186342571730862</v>
      </c>
      <c r="P35" s="695">
        <f t="shared" si="18"/>
        <v>0.11006510012394455</v>
      </c>
      <c r="Q35" s="701"/>
      <c r="R35" s="1319"/>
      <c r="S35" s="702"/>
      <c r="T35" s="702"/>
      <c r="U35" s="702"/>
      <c r="V35" s="702"/>
      <c r="W35" s="702"/>
      <c r="X35" s="702"/>
      <c r="Y35" s="702"/>
      <c r="Z35" s="702"/>
      <c r="AA35" s="702"/>
      <c r="AB35" s="702"/>
    </row>
    <row r="36" spans="2:28" ht="5.25" customHeight="1">
      <c r="B36" s="696"/>
      <c r="C36" s="697"/>
      <c r="D36" s="697"/>
      <c r="Q36" s="701"/>
      <c r="R36" s="717"/>
      <c r="S36" s="702"/>
      <c r="T36" s="702"/>
      <c r="U36" s="702"/>
      <c r="V36" s="702"/>
      <c r="W36" s="702"/>
      <c r="X36" s="702"/>
      <c r="Y36" s="702"/>
      <c r="Z36" s="702"/>
      <c r="AA36" s="702"/>
      <c r="AB36" s="702"/>
    </row>
    <row r="37" spans="2:28" ht="12.75">
      <c r="B37" s="698" t="s">
        <v>277</v>
      </c>
      <c r="C37" s="698"/>
      <c r="D37" s="697"/>
      <c r="Q37" s="701"/>
      <c r="R37" s="717"/>
      <c r="S37" s="702"/>
      <c r="T37" s="702"/>
      <c r="U37" s="702"/>
      <c r="V37" s="702"/>
      <c r="W37" s="702"/>
      <c r="X37" s="702"/>
      <c r="Y37" s="702"/>
      <c r="Z37" s="702"/>
      <c r="AA37" s="702"/>
      <c r="AB37" s="702"/>
    </row>
    <row r="38" spans="2:28" ht="12.75">
      <c r="B38" s="697" t="s">
        <v>278</v>
      </c>
      <c r="C38" s="697"/>
      <c r="D38" s="697"/>
      <c r="Q38" s="701"/>
      <c r="R38" s="702"/>
      <c r="S38" s="702"/>
      <c r="T38" s="702"/>
      <c r="U38" s="702"/>
      <c r="V38" s="702"/>
      <c r="W38" s="702"/>
      <c r="X38" s="702"/>
      <c r="Y38" s="702"/>
      <c r="Z38" s="702"/>
      <c r="AA38" s="702"/>
      <c r="AB38" s="702"/>
    </row>
    <row r="39" spans="2:28" ht="14.25">
      <c r="B39" s="697"/>
      <c r="C39" s="428"/>
      <c r="D39" s="428"/>
      <c r="Q39" s="701"/>
      <c r="R39" s="702"/>
      <c r="S39" s="702"/>
      <c r="T39" s="702"/>
      <c r="U39" s="702"/>
      <c r="V39" s="702"/>
      <c r="W39" s="702"/>
      <c r="X39" s="702"/>
      <c r="Y39" s="702"/>
      <c r="Z39" s="702"/>
      <c r="AA39" s="702"/>
      <c r="AB39" s="702"/>
    </row>
    <row r="40" spans="2:28" ht="20.25">
      <c r="B40" s="605"/>
      <c r="C40" s="605"/>
      <c r="D40" s="699"/>
      <c r="Q40" s="701"/>
      <c r="R40" s="702"/>
      <c r="S40" s="702"/>
      <c r="T40" s="702"/>
      <c r="U40" s="702"/>
      <c r="V40" s="702"/>
      <c r="W40" s="702"/>
      <c r="X40" s="702"/>
      <c r="Y40" s="702"/>
      <c r="Z40" s="702"/>
      <c r="AA40" s="702"/>
      <c r="AB40" s="702"/>
    </row>
    <row r="41" spans="17:28" ht="12.75">
      <c r="Q41" s="701"/>
      <c r="R41" s="702"/>
      <c r="S41" s="702"/>
      <c r="T41" s="702"/>
      <c r="U41" s="702"/>
      <c r="V41" s="702"/>
      <c r="W41" s="702"/>
      <c r="X41" s="702"/>
      <c r="Y41" s="702"/>
      <c r="Z41" s="702"/>
      <c r="AA41" s="702"/>
      <c r="AB41" s="702"/>
    </row>
    <row r="42" spans="17:28" ht="12.75">
      <c r="Q42" s="701"/>
      <c r="R42" s="702"/>
      <c r="S42" s="714" t="s">
        <v>280</v>
      </c>
      <c r="T42" s="708" t="s">
        <v>13</v>
      </c>
      <c r="U42" s="708" t="s">
        <v>281</v>
      </c>
      <c r="V42" s="708" t="s">
        <v>282</v>
      </c>
      <c r="W42" s="702"/>
      <c r="X42" s="702"/>
      <c r="Y42" s="702"/>
      <c r="Z42" s="702"/>
      <c r="AA42" s="702"/>
      <c r="AB42" s="702"/>
    </row>
    <row r="43" spans="17:28" ht="12.75">
      <c r="Q43" s="701"/>
      <c r="R43" s="702">
        <v>1995</v>
      </c>
      <c r="S43" s="707">
        <f>H11</f>
        <v>154.712999</v>
      </c>
      <c r="T43" s="707">
        <f>I11</f>
        <v>38.418108999999994</v>
      </c>
      <c r="U43" s="707">
        <f>J11</f>
        <v>11.41265</v>
      </c>
      <c r="V43" s="707">
        <f>K11</f>
        <v>104.88224000000001</v>
      </c>
      <c r="W43" s="702"/>
      <c r="X43" s="702"/>
      <c r="Y43" s="702"/>
      <c r="Z43" s="702"/>
      <c r="AA43" s="702"/>
      <c r="AB43" s="702"/>
    </row>
    <row r="44" spans="17:28" ht="12.75">
      <c r="Q44" s="701"/>
      <c r="R44" s="702">
        <v>1996</v>
      </c>
      <c r="S44" s="707">
        <f aca="true" t="shared" si="19" ref="S44:V59">H12</f>
        <v>176.976207</v>
      </c>
      <c r="T44" s="707">
        <f t="shared" si="19"/>
        <v>65.26743699999999</v>
      </c>
      <c r="U44" s="707">
        <f t="shared" si="19"/>
        <v>16.601</v>
      </c>
      <c r="V44" s="707">
        <f t="shared" si="19"/>
        <v>95.10777</v>
      </c>
      <c r="W44" s="702"/>
      <c r="X44" s="702"/>
      <c r="Y44" s="702"/>
      <c r="Z44" s="702"/>
      <c r="AA44" s="702"/>
      <c r="AB44" s="702"/>
    </row>
    <row r="45" spans="17:28" ht="12.75">
      <c r="Q45" s="701"/>
      <c r="R45" s="702">
        <v>1997</v>
      </c>
      <c r="S45" s="707">
        <f t="shared" si="19"/>
        <v>207.889966</v>
      </c>
      <c r="T45" s="707">
        <f t="shared" si="19"/>
        <v>103.237176</v>
      </c>
      <c r="U45" s="707">
        <f t="shared" si="19"/>
        <v>32.72078</v>
      </c>
      <c r="V45" s="707">
        <f t="shared" si="19"/>
        <v>71.93200999999999</v>
      </c>
      <c r="W45" s="702"/>
      <c r="X45" s="702"/>
      <c r="Y45" s="702"/>
      <c r="Z45" s="702"/>
      <c r="AA45" s="702"/>
      <c r="AB45" s="702"/>
    </row>
    <row r="46" spans="17:28" ht="12.75">
      <c r="Q46" s="701"/>
      <c r="R46" s="702">
        <v>1998</v>
      </c>
      <c r="S46" s="707">
        <f t="shared" si="19"/>
        <v>202.79134299999998</v>
      </c>
      <c r="T46" s="707">
        <f t="shared" si="19"/>
        <v>114.539113</v>
      </c>
      <c r="U46" s="707">
        <f t="shared" si="19"/>
        <v>46.155269999999994</v>
      </c>
      <c r="V46" s="707">
        <f t="shared" si="19"/>
        <v>42.096959999999996</v>
      </c>
      <c r="W46" s="702"/>
      <c r="X46" s="702"/>
      <c r="Y46" s="702"/>
      <c r="Z46" s="702"/>
      <c r="AA46" s="702"/>
      <c r="AB46" s="702"/>
    </row>
    <row r="47" spans="17:28" ht="12.75">
      <c r="Q47" s="701"/>
      <c r="R47" s="702">
        <v>1999</v>
      </c>
      <c r="S47" s="707">
        <f t="shared" si="19"/>
        <v>201.72455901183432</v>
      </c>
      <c r="T47" s="707">
        <f t="shared" si="19"/>
        <v>136.331909</v>
      </c>
      <c r="U47" s="707">
        <f t="shared" si="19"/>
        <v>31.3179</v>
      </c>
      <c r="V47" s="707">
        <f t="shared" si="19"/>
        <v>34.07475001183432</v>
      </c>
      <c r="W47" s="702"/>
      <c r="X47" s="702"/>
      <c r="Y47" s="702"/>
      <c r="Z47" s="702"/>
      <c r="AA47" s="702"/>
      <c r="AB47" s="702"/>
    </row>
    <row r="48" spans="17:28" ht="12.75">
      <c r="Q48" s="701"/>
      <c r="R48" s="702">
        <v>2000</v>
      </c>
      <c r="S48" s="707">
        <f t="shared" si="19"/>
        <v>165.994</v>
      </c>
      <c r="T48" s="707">
        <f t="shared" si="19"/>
        <v>123.216</v>
      </c>
      <c r="U48" s="707">
        <f t="shared" si="19"/>
        <v>26.69</v>
      </c>
      <c r="V48" s="707">
        <f t="shared" si="19"/>
        <v>16.088</v>
      </c>
      <c r="W48" s="702"/>
      <c r="X48" s="702"/>
      <c r="Y48" s="702"/>
      <c r="Z48" s="702"/>
      <c r="AA48" s="702"/>
      <c r="AB48" s="702"/>
    </row>
    <row r="49" spans="17:28" ht="12.75">
      <c r="Q49" s="701"/>
      <c r="R49" s="702">
        <v>2001</v>
      </c>
      <c r="S49" s="707">
        <f t="shared" si="19"/>
        <v>95.05868</v>
      </c>
      <c r="T49" s="707">
        <f t="shared" si="19"/>
        <v>76.27708</v>
      </c>
      <c r="U49" s="707">
        <f t="shared" si="19"/>
        <v>3.116</v>
      </c>
      <c r="V49" s="707">
        <f t="shared" si="19"/>
        <v>15.6656</v>
      </c>
      <c r="W49" s="702"/>
      <c r="X49" s="702"/>
      <c r="Y49" s="702"/>
      <c r="Z49" s="702"/>
      <c r="AA49" s="702"/>
      <c r="AB49" s="702"/>
    </row>
    <row r="50" spans="17:28" ht="12.75">
      <c r="Q50" s="701"/>
      <c r="R50" s="711">
        <v>2002</v>
      </c>
      <c r="S50" s="707">
        <f t="shared" si="19"/>
        <v>109.856</v>
      </c>
      <c r="T50" s="707">
        <f t="shared" si="19"/>
        <v>77.798</v>
      </c>
      <c r="U50" s="707">
        <f t="shared" si="19"/>
        <v>0.377</v>
      </c>
      <c r="V50" s="707">
        <f t="shared" si="19"/>
        <v>31.681</v>
      </c>
      <c r="W50" s="702"/>
      <c r="X50" s="702"/>
      <c r="Y50" s="702"/>
      <c r="Z50" s="702"/>
      <c r="AA50" s="702"/>
      <c r="AB50" s="702"/>
    </row>
    <row r="51" spans="17:28" ht="12.75">
      <c r="Q51" s="701"/>
      <c r="R51" s="702">
        <v>2003</v>
      </c>
      <c r="S51" s="707">
        <f t="shared" si="19"/>
        <v>110.832</v>
      </c>
      <c r="T51" s="707">
        <f t="shared" si="19"/>
        <v>67.105</v>
      </c>
      <c r="U51" s="707">
        <f t="shared" si="19"/>
        <v>0</v>
      </c>
      <c r="V51" s="707">
        <f t="shared" si="19"/>
        <v>43.727</v>
      </c>
      <c r="W51" s="702"/>
      <c r="X51" s="702"/>
      <c r="Y51" s="702"/>
      <c r="Z51" s="702"/>
      <c r="AA51" s="702"/>
      <c r="AB51" s="702"/>
    </row>
    <row r="52" spans="17:28" ht="12.75">
      <c r="Q52" s="701"/>
      <c r="R52" s="702">
        <v>2004</v>
      </c>
      <c r="S52" s="707">
        <f t="shared" si="19"/>
        <v>116.143</v>
      </c>
      <c r="T52" s="707">
        <f t="shared" si="19"/>
        <v>67.001</v>
      </c>
      <c r="U52" s="707">
        <f t="shared" si="19"/>
        <v>0</v>
      </c>
      <c r="V52" s="707">
        <f t="shared" si="19"/>
        <v>49.142</v>
      </c>
      <c r="W52" s="702"/>
      <c r="X52" s="702"/>
      <c r="Y52" s="702"/>
      <c r="Z52" s="702"/>
      <c r="AA52" s="702"/>
      <c r="AB52" s="702"/>
    </row>
    <row r="53" spans="17:28" ht="12.75">
      <c r="Q53" s="701"/>
      <c r="R53" s="702">
        <v>2005</v>
      </c>
      <c r="S53" s="707">
        <f t="shared" si="19"/>
        <v>117.43027</v>
      </c>
      <c r="T53" s="707">
        <f t="shared" si="19"/>
        <v>53.766709999999996</v>
      </c>
      <c r="U53" s="707">
        <f t="shared" si="19"/>
        <v>0</v>
      </c>
      <c r="V53" s="707">
        <f t="shared" si="19"/>
        <v>63.66356</v>
      </c>
      <c r="W53" s="702"/>
      <c r="X53" s="702"/>
      <c r="Y53" s="702"/>
      <c r="Z53" s="702"/>
      <c r="AA53" s="702"/>
      <c r="AB53" s="702"/>
    </row>
    <row r="54" spans="17:28" ht="12.75">
      <c r="Q54" s="701"/>
      <c r="R54" s="702">
        <v>2006</v>
      </c>
      <c r="S54" s="707">
        <f t="shared" si="19"/>
        <v>95.745</v>
      </c>
      <c r="T54" s="707">
        <f t="shared" si="19"/>
        <v>29.198</v>
      </c>
      <c r="U54" s="707">
        <f t="shared" si="19"/>
        <v>0</v>
      </c>
      <c r="V54" s="707">
        <f t="shared" si="19"/>
        <v>66.547</v>
      </c>
      <c r="W54" s="702"/>
      <c r="X54" s="702"/>
      <c r="Y54" s="702"/>
      <c r="Z54" s="702"/>
      <c r="AA54" s="702"/>
      <c r="AB54" s="702"/>
    </row>
    <row r="55" spans="17:28" ht="12.75">
      <c r="Q55" s="701"/>
      <c r="R55" s="702">
        <v>2007</v>
      </c>
      <c r="S55" s="707">
        <f t="shared" si="19"/>
        <v>139.72556</v>
      </c>
      <c r="T55" s="707">
        <f t="shared" si="19"/>
        <v>73.49929999999999</v>
      </c>
      <c r="U55" s="707">
        <f t="shared" si="19"/>
        <v>0</v>
      </c>
      <c r="V55" s="707">
        <f t="shared" si="19"/>
        <v>66.22626000000001</v>
      </c>
      <c r="W55" s="702"/>
      <c r="X55" s="702"/>
      <c r="Y55" s="702"/>
      <c r="Z55" s="702"/>
      <c r="AA55" s="702"/>
      <c r="AB55" s="702"/>
    </row>
    <row r="56" spans="17:28" ht="12.75">
      <c r="Q56" s="701"/>
      <c r="R56" s="702">
        <v>2008</v>
      </c>
      <c r="S56" s="707">
        <f t="shared" si="19"/>
        <v>128.88</v>
      </c>
      <c r="T56" s="707">
        <f t="shared" si="19"/>
        <v>26.5</v>
      </c>
      <c r="U56" s="707">
        <f t="shared" si="19"/>
        <v>0</v>
      </c>
      <c r="V56" s="707">
        <f t="shared" si="19"/>
        <v>102.38</v>
      </c>
      <c r="W56" s="702"/>
      <c r="X56" s="702"/>
      <c r="Y56" s="702"/>
      <c r="Z56" s="702"/>
      <c r="AA56" s="702"/>
      <c r="AB56" s="702"/>
    </row>
    <row r="57" spans="17:28" ht="12.75">
      <c r="Q57" s="701"/>
      <c r="R57" s="702">
        <v>2009</v>
      </c>
      <c r="S57" s="707">
        <f t="shared" si="19"/>
        <v>250.289</v>
      </c>
      <c r="T57" s="707">
        <f t="shared" si="19"/>
        <v>88.849</v>
      </c>
      <c r="U57" s="707">
        <f t="shared" si="19"/>
        <v>0</v>
      </c>
      <c r="V57" s="707">
        <f t="shared" si="19"/>
        <v>161.44</v>
      </c>
      <c r="W57" s="702"/>
      <c r="X57" s="702"/>
      <c r="Y57" s="702"/>
      <c r="Z57" s="702"/>
      <c r="AA57" s="702"/>
      <c r="AB57" s="702"/>
    </row>
    <row r="58" spans="17:28" ht="12.75">
      <c r="Q58" s="701"/>
      <c r="R58" s="702">
        <v>2010</v>
      </c>
      <c r="S58" s="707">
        <f t="shared" si="19"/>
        <v>165.6105822261484</v>
      </c>
      <c r="T58" s="707">
        <f t="shared" si="19"/>
        <v>25.11388222614841</v>
      </c>
      <c r="U58" s="707">
        <f t="shared" si="19"/>
        <v>0</v>
      </c>
      <c r="V58" s="707">
        <f t="shared" si="19"/>
        <v>140.4967</v>
      </c>
      <c r="W58" s="702"/>
      <c r="X58" s="702"/>
      <c r="Y58" s="702"/>
      <c r="Z58" s="702"/>
      <c r="AA58" s="702"/>
      <c r="AB58" s="702"/>
    </row>
    <row r="59" spans="17:28" ht="12.75">
      <c r="Q59" s="701"/>
      <c r="R59" s="702">
        <v>2011</v>
      </c>
      <c r="S59" s="707">
        <f t="shared" si="19"/>
        <v>107</v>
      </c>
      <c r="T59" s="707">
        <f t="shared" si="19"/>
        <v>28.6</v>
      </c>
      <c r="U59" s="707">
        <f t="shared" si="19"/>
        <v>0</v>
      </c>
      <c r="V59" s="707">
        <f t="shared" si="19"/>
        <v>78.4</v>
      </c>
      <c r="W59" s="702"/>
      <c r="X59" s="702"/>
      <c r="Y59" s="702"/>
      <c r="Z59" s="702"/>
      <c r="AA59" s="702"/>
      <c r="AB59" s="702"/>
    </row>
    <row r="60" spans="17:28" ht="12.75">
      <c r="Q60" s="701"/>
      <c r="R60" s="702">
        <v>2012</v>
      </c>
      <c r="S60" s="707">
        <f aca="true" t="shared" si="20" ref="S60:V61">H28</f>
        <v>121.623</v>
      </c>
      <c r="T60" s="707">
        <f t="shared" si="20"/>
        <v>35.28</v>
      </c>
      <c r="U60" s="707">
        <f t="shared" si="20"/>
        <v>0</v>
      </c>
      <c r="V60" s="707">
        <f t="shared" si="20"/>
        <v>86.343</v>
      </c>
      <c r="W60" s="702"/>
      <c r="X60" s="702"/>
      <c r="Y60" s="702"/>
      <c r="Z60" s="702"/>
      <c r="AA60" s="702"/>
      <c r="AB60" s="702"/>
    </row>
    <row r="61" spans="17:28" ht="12.75">
      <c r="Q61" s="701"/>
      <c r="R61" s="702">
        <v>2013</v>
      </c>
      <c r="S61" s="707">
        <f t="shared" si="20"/>
        <v>209.3229</v>
      </c>
      <c r="T61" s="707">
        <f t="shared" si="20"/>
        <v>65.2148</v>
      </c>
      <c r="U61" s="707">
        <f t="shared" si="20"/>
        <v>0</v>
      </c>
      <c r="V61" s="707">
        <f t="shared" si="20"/>
        <v>144.1081</v>
      </c>
      <c r="W61" s="702"/>
      <c r="X61" s="702"/>
      <c r="Y61" s="702"/>
      <c r="Z61" s="702"/>
      <c r="AA61" s="702"/>
      <c r="AB61" s="702"/>
    </row>
    <row r="62" spans="17:28" ht="12.75">
      <c r="Q62" s="701"/>
      <c r="R62" s="702">
        <v>2014</v>
      </c>
      <c r="S62" s="707">
        <f>H30</f>
        <v>178.3314935039677</v>
      </c>
      <c r="T62" s="707">
        <f>I30</f>
        <v>62.09052</v>
      </c>
      <c r="U62" s="707">
        <f>J30</f>
        <v>0</v>
      </c>
      <c r="V62" s="707">
        <f>K30</f>
        <v>116.24097350396768</v>
      </c>
      <c r="W62" s="702"/>
      <c r="X62" s="702"/>
      <c r="Y62" s="702"/>
      <c r="Z62" s="702"/>
      <c r="AA62" s="702"/>
      <c r="AB62" s="702"/>
    </row>
    <row r="63" spans="3:28" ht="12.75">
      <c r="C63" s="697" t="s">
        <v>283</v>
      </c>
      <c r="Q63" s="701"/>
      <c r="R63" s="702"/>
      <c r="S63" s="702"/>
      <c r="T63" s="702"/>
      <c r="U63" s="702"/>
      <c r="V63" s="702"/>
      <c r="W63" s="702"/>
      <c r="X63" s="702"/>
      <c r="Y63" s="702"/>
      <c r="Z63" s="702"/>
      <c r="AA63" s="702"/>
      <c r="AB63" s="702"/>
    </row>
    <row r="64" spans="3:28" ht="11.25" customHeight="1">
      <c r="C64" s="697" t="s">
        <v>279</v>
      </c>
      <c r="Q64" s="701"/>
      <c r="R64" s="702"/>
      <c r="S64" s="702"/>
      <c r="T64" s="702"/>
      <c r="U64" s="702"/>
      <c r="V64" s="702"/>
      <c r="W64" s="702"/>
      <c r="X64" s="702"/>
      <c r="Y64" s="702"/>
      <c r="Z64" s="702"/>
      <c r="AA64" s="702"/>
      <c r="AB64" s="702"/>
    </row>
    <row r="65" spans="17:28" ht="12.75">
      <c r="Q65" s="701"/>
      <c r="R65" s="702"/>
      <c r="S65" s="718" t="s">
        <v>284</v>
      </c>
      <c r="T65" s="707" t="s">
        <v>13</v>
      </c>
      <c r="U65" s="707" t="s">
        <v>281</v>
      </c>
      <c r="V65" s="707" t="s">
        <v>282</v>
      </c>
      <c r="W65" s="702"/>
      <c r="X65" s="702"/>
      <c r="Y65" s="702"/>
      <c r="Z65" s="702"/>
      <c r="AA65" s="702"/>
      <c r="AB65" s="702"/>
    </row>
    <row r="66" spans="17:28" ht="12.75">
      <c r="Q66" s="701"/>
      <c r="R66" s="702">
        <v>1995</v>
      </c>
      <c r="S66" s="707">
        <f aca="true" t="shared" si="21" ref="S66:V84">L11</f>
        <v>66.16563000000001</v>
      </c>
      <c r="T66" s="707">
        <f t="shared" si="21"/>
        <v>7.64863</v>
      </c>
      <c r="U66" s="707">
        <f t="shared" si="21"/>
        <v>0</v>
      </c>
      <c r="V66" s="707">
        <f t="shared" si="21"/>
        <v>58.517</v>
      </c>
      <c r="W66" s="702"/>
      <c r="X66" s="702"/>
      <c r="Y66" s="702"/>
      <c r="Z66" s="702"/>
      <c r="AA66" s="702"/>
      <c r="AB66" s="702"/>
    </row>
    <row r="67" spans="17:28" ht="12.75">
      <c r="Q67" s="701"/>
      <c r="R67" s="702">
        <v>1996</v>
      </c>
      <c r="S67" s="707">
        <f t="shared" si="21"/>
        <v>195.92117000000002</v>
      </c>
      <c r="T67" s="707">
        <f t="shared" si="21"/>
        <v>97.75146000000001</v>
      </c>
      <c r="U67" s="707">
        <f t="shared" si="21"/>
        <v>0</v>
      </c>
      <c r="V67" s="707">
        <f t="shared" si="21"/>
        <v>98.16971000000001</v>
      </c>
      <c r="W67" s="702"/>
      <c r="X67" s="702"/>
      <c r="Y67" s="702"/>
      <c r="Z67" s="702"/>
      <c r="AA67" s="702"/>
      <c r="AB67" s="702"/>
    </row>
    <row r="68" spans="17:28" ht="12.75">
      <c r="Q68" s="701"/>
      <c r="R68" s="702">
        <v>1997</v>
      </c>
      <c r="S68" s="707">
        <f t="shared" si="21"/>
        <v>339.73591500000003</v>
      </c>
      <c r="T68" s="707">
        <f t="shared" si="21"/>
        <v>240.20695500000002</v>
      </c>
      <c r="U68" s="707">
        <f t="shared" si="21"/>
        <v>0</v>
      </c>
      <c r="V68" s="707">
        <f t="shared" si="21"/>
        <v>99.52896000000001</v>
      </c>
      <c r="W68" s="702"/>
      <c r="X68" s="702"/>
      <c r="Y68" s="702"/>
      <c r="Z68" s="702"/>
      <c r="AA68" s="702"/>
      <c r="AB68" s="702"/>
    </row>
    <row r="69" spans="17:28" ht="12.75">
      <c r="Q69" s="701"/>
      <c r="R69" s="702">
        <v>1998</v>
      </c>
      <c r="S69" s="707">
        <f t="shared" si="21"/>
        <v>358.72008800000003</v>
      </c>
      <c r="T69" s="707">
        <f t="shared" si="21"/>
        <v>250.824128</v>
      </c>
      <c r="U69" s="707">
        <f t="shared" si="21"/>
        <v>13.488</v>
      </c>
      <c r="V69" s="707">
        <f t="shared" si="21"/>
        <v>94.40796</v>
      </c>
      <c r="W69" s="702"/>
      <c r="X69" s="702"/>
      <c r="Y69" s="702"/>
      <c r="Z69" s="702"/>
      <c r="AA69" s="702"/>
      <c r="AB69" s="702"/>
    </row>
    <row r="70" spans="17:28" ht="12.75">
      <c r="Q70" s="701"/>
      <c r="R70" s="702">
        <v>1999</v>
      </c>
      <c r="S70" s="707">
        <f t="shared" si="21"/>
        <v>507.814669</v>
      </c>
      <c r="T70" s="707">
        <f t="shared" si="21"/>
        <v>280.900419</v>
      </c>
      <c r="U70" s="707">
        <f t="shared" si="21"/>
        <v>139.48872</v>
      </c>
      <c r="V70" s="707">
        <f t="shared" si="21"/>
        <v>87.42553</v>
      </c>
      <c r="W70" s="702"/>
      <c r="X70" s="702"/>
      <c r="Y70" s="702"/>
      <c r="Z70" s="702"/>
      <c r="AA70" s="702"/>
      <c r="AB70" s="702"/>
    </row>
    <row r="71" spans="17:28" ht="12.75">
      <c r="Q71" s="701"/>
      <c r="R71" s="702">
        <v>2000</v>
      </c>
      <c r="S71" s="707">
        <f t="shared" si="21"/>
        <v>439.809</v>
      </c>
      <c r="T71" s="707">
        <f t="shared" si="21"/>
        <v>214.442</v>
      </c>
      <c r="U71" s="707">
        <f t="shared" si="21"/>
        <v>102.249</v>
      </c>
      <c r="V71" s="707">
        <f t="shared" si="21"/>
        <v>123.118</v>
      </c>
      <c r="W71" s="702"/>
      <c r="X71" s="702"/>
      <c r="Y71" s="702"/>
      <c r="Z71" s="702"/>
      <c r="AA71" s="702"/>
      <c r="AB71" s="702"/>
    </row>
    <row r="72" spans="17:28" ht="12.75">
      <c r="Q72" s="701"/>
      <c r="R72" s="702">
        <v>2001</v>
      </c>
      <c r="S72" s="707">
        <f t="shared" si="21"/>
        <v>210.83829</v>
      </c>
      <c r="T72" s="707">
        <f t="shared" si="21"/>
        <v>33.4951</v>
      </c>
      <c r="U72" s="707">
        <f t="shared" si="21"/>
        <v>58.627</v>
      </c>
      <c r="V72" s="707">
        <f t="shared" si="21"/>
        <v>118.71619</v>
      </c>
      <c r="W72" s="702"/>
      <c r="X72" s="702"/>
      <c r="Y72" s="702"/>
      <c r="Z72" s="702"/>
      <c r="AA72" s="702"/>
      <c r="AB72" s="702"/>
    </row>
    <row r="73" spans="17:28" ht="12.75">
      <c r="Q73" s="701"/>
      <c r="R73" s="702">
        <v>2002</v>
      </c>
      <c r="S73" s="707">
        <f t="shared" si="21"/>
        <v>132.34300000000002</v>
      </c>
      <c r="T73" s="707">
        <f t="shared" si="21"/>
        <v>30.042</v>
      </c>
      <c r="U73" s="707">
        <f t="shared" si="21"/>
        <v>37.28</v>
      </c>
      <c r="V73" s="707">
        <f t="shared" si="21"/>
        <v>65.021</v>
      </c>
      <c r="W73" s="702"/>
      <c r="X73" s="702"/>
      <c r="Y73" s="702"/>
      <c r="Z73" s="702"/>
      <c r="AA73" s="702"/>
      <c r="AB73" s="702"/>
    </row>
    <row r="74" spans="17:28" ht="12.75">
      <c r="Q74" s="701"/>
      <c r="R74" s="702">
        <v>2003</v>
      </c>
      <c r="S74" s="707">
        <f t="shared" si="21"/>
        <v>81.125</v>
      </c>
      <c r="T74" s="707">
        <f t="shared" si="21"/>
        <v>20.06</v>
      </c>
      <c r="U74" s="707">
        <f t="shared" si="21"/>
        <v>12.826</v>
      </c>
      <c r="V74" s="707">
        <f t="shared" si="21"/>
        <v>48.239</v>
      </c>
      <c r="W74" s="702"/>
      <c r="X74" s="702"/>
      <c r="Y74" s="702"/>
      <c r="Z74" s="702"/>
      <c r="AA74" s="702"/>
      <c r="AB74" s="702"/>
    </row>
    <row r="75" spans="17:28" ht="12.75">
      <c r="Q75" s="701"/>
      <c r="R75" s="702">
        <v>2004</v>
      </c>
      <c r="S75" s="707">
        <f t="shared" si="21"/>
        <v>168.552</v>
      </c>
      <c r="T75" s="707">
        <f t="shared" si="21"/>
        <v>92.565</v>
      </c>
      <c r="U75" s="707">
        <f t="shared" si="21"/>
        <v>24.366</v>
      </c>
      <c r="V75" s="707">
        <f t="shared" si="21"/>
        <v>51.621</v>
      </c>
      <c r="W75" s="702"/>
      <c r="X75" s="702"/>
      <c r="Y75" s="702"/>
      <c r="Z75" s="702"/>
      <c r="AA75" s="702"/>
      <c r="AB75" s="702"/>
    </row>
    <row r="76" spans="17:28" ht="12.75">
      <c r="Q76" s="701"/>
      <c r="R76" s="702">
        <v>2005</v>
      </c>
      <c r="S76" s="707">
        <f t="shared" si="21"/>
        <v>231.06162000000003</v>
      </c>
      <c r="T76" s="707">
        <f t="shared" si="21"/>
        <v>139.72464000000002</v>
      </c>
      <c r="U76" s="707">
        <f t="shared" si="21"/>
        <v>20.6339</v>
      </c>
      <c r="V76" s="707">
        <f t="shared" si="21"/>
        <v>70.70308</v>
      </c>
      <c r="W76" s="702"/>
      <c r="X76" s="702"/>
      <c r="Y76" s="702"/>
      <c r="Z76" s="702"/>
      <c r="AA76" s="702"/>
      <c r="AB76" s="702"/>
    </row>
    <row r="77" spans="17:28" ht="12.75">
      <c r="Q77" s="701"/>
      <c r="R77" s="702">
        <v>2006</v>
      </c>
      <c r="S77" s="707">
        <f t="shared" si="21"/>
        <v>350.459</v>
      </c>
      <c r="T77" s="707">
        <f t="shared" si="21"/>
        <v>260.377</v>
      </c>
      <c r="U77" s="707">
        <f t="shared" si="21"/>
        <v>16.543</v>
      </c>
      <c r="V77" s="707">
        <f t="shared" si="21"/>
        <v>73.539</v>
      </c>
      <c r="W77" s="702"/>
      <c r="X77" s="702"/>
      <c r="Y77" s="702"/>
      <c r="Z77" s="702"/>
      <c r="AA77" s="702"/>
      <c r="AB77" s="702"/>
    </row>
    <row r="78" spans="17:28" ht="12.75">
      <c r="Q78" s="701"/>
      <c r="R78" s="702">
        <v>2007</v>
      </c>
      <c r="S78" s="707">
        <f t="shared" si="21"/>
        <v>399.34757</v>
      </c>
      <c r="T78" s="707">
        <f t="shared" si="21"/>
        <v>244.531</v>
      </c>
      <c r="U78" s="707">
        <f t="shared" si="21"/>
        <v>69.63589999999999</v>
      </c>
      <c r="V78" s="707">
        <f t="shared" si="21"/>
        <v>85.18066999999999</v>
      </c>
      <c r="W78" s="702"/>
      <c r="X78" s="702"/>
      <c r="Y78" s="702"/>
      <c r="Z78" s="702"/>
      <c r="AA78" s="702"/>
      <c r="AB78" s="702"/>
    </row>
    <row r="79" spans="17:28" ht="12.75">
      <c r="Q79" s="701"/>
      <c r="R79" s="702">
        <v>2008</v>
      </c>
      <c r="S79" s="707">
        <f t="shared" si="21"/>
        <v>633.64</v>
      </c>
      <c r="T79" s="707">
        <f t="shared" si="21"/>
        <v>457.01</v>
      </c>
      <c r="U79" s="707">
        <f t="shared" si="21"/>
        <v>43.1</v>
      </c>
      <c r="V79" s="707">
        <f t="shared" si="21"/>
        <v>133.53</v>
      </c>
      <c r="W79" s="702"/>
      <c r="X79" s="702"/>
      <c r="Y79" s="702"/>
      <c r="Z79" s="702"/>
      <c r="AA79" s="702"/>
      <c r="AB79" s="702"/>
    </row>
    <row r="80" spans="17:28" ht="12.75">
      <c r="Q80" s="701"/>
      <c r="R80" s="702">
        <v>2009</v>
      </c>
      <c r="S80" s="707">
        <f t="shared" si="21"/>
        <v>741.8307199999999</v>
      </c>
      <c r="T80" s="707">
        <f t="shared" si="21"/>
        <v>359.5343</v>
      </c>
      <c r="U80" s="707">
        <f t="shared" si="21"/>
        <v>254.363</v>
      </c>
      <c r="V80" s="707">
        <f t="shared" si="21"/>
        <v>127.93342</v>
      </c>
      <c r="W80" s="702"/>
      <c r="X80" s="702"/>
      <c r="Y80" s="702"/>
      <c r="Z80" s="702"/>
      <c r="AA80" s="702"/>
      <c r="AB80" s="702"/>
    </row>
    <row r="81" spans="17:28" ht="12.75">
      <c r="Q81" s="701"/>
      <c r="R81" s="702">
        <v>2010</v>
      </c>
      <c r="S81" s="707">
        <f t="shared" si="21"/>
        <v>978.7512</v>
      </c>
      <c r="T81" s="707">
        <f t="shared" si="21"/>
        <v>533.5195</v>
      </c>
      <c r="U81" s="707">
        <f t="shared" si="21"/>
        <v>332.5572</v>
      </c>
      <c r="V81" s="707">
        <f t="shared" si="21"/>
        <v>112.6745</v>
      </c>
      <c r="W81" s="702"/>
      <c r="X81" s="702"/>
      <c r="Y81" s="702"/>
      <c r="Z81" s="702"/>
      <c r="AA81" s="702"/>
      <c r="AB81" s="702"/>
    </row>
    <row r="82" spans="17:28" ht="12.75">
      <c r="Q82" s="701"/>
      <c r="R82" s="702">
        <v>2011</v>
      </c>
      <c r="S82" s="707">
        <f t="shared" si="21"/>
        <v>1641.7</v>
      </c>
      <c r="T82" s="707">
        <f t="shared" si="21"/>
        <v>1212.2</v>
      </c>
      <c r="U82" s="707">
        <f t="shared" si="21"/>
        <v>278.5</v>
      </c>
      <c r="V82" s="707">
        <f t="shared" si="21"/>
        <v>151</v>
      </c>
      <c r="W82" s="702"/>
      <c r="X82" s="702"/>
      <c r="Y82" s="702"/>
      <c r="Z82" s="702"/>
      <c r="AA82" s="702"/>
      <c r="AB82" s="702"/>
    </row>
    <row r="83" spans="17:28" ht="12.75">
      <c r="Q83" s="701"/>
      <c r="R83" s="702">
        <v>2012</v>
      </c>
      <c r="S83" s="707">
        <f t="shared" si="21"/>
        <v>2467.42086045</v>
      </c>
      <c r="T83" s="707">
        <f t="shared" si="21"/>
        <v>1746.12966045</v>
      </c>
      <c r="U83" s="707">
        <f t="shared" si="21"/>
        <v>470.27</v>
      </c>
      <c r="V83" s="707">
        <f t="shared" si="21"/>
        <v>251.02120000000002</v>
      </c>
      <c r="W83" s="702"/>
      <c r="X83" s="702"/>
      <c r="Y83" s="702"/>
      <c r="Z83" s="702"/>
      <c r="AA83" s="702"/>
      <c r="AB83" s="702"/>
    </row>
    <row r="84" spans="17:28" ht="12.75">
      <c r="Q84" s="701"/>
      <c r="R84" s="702">
        <v>2013</v>
      </c>
      <c r="S84" s="707">
        <f t="shared" si="21"/>
        <v>2230.2925</v>
      </c>
      <c r="T84" s="707">
        <f t="shared" si="21"/>
        <v>1764.6187</v>
      </c>
      <c r="U84" s="707">
        <f t="shared" si="21"/>
        <v>188.4134</v>
      </c>
      <c r="V84" s="707">
        <f t="shared" si="21"/>
        <v>277.2604</v>
      </c>
      <c r="W84" s="702"/>
      <c r="X84" s="702"/>
      <c r="Y84" s="702"/>
      <c r="Z84" s="702"/>
      <c r="AA84" s="702"/>
      <c r="AB84" s="702"/>
    </row>
    <row r="85" spans="17:28" ht="12.75">
      <c r="Q85" s="701"/>
      <c r="R85" s="702">
        <v>2014</v>
      </c>
      <c r="S85" s="707">
        <f>L30</f>
        <v>2296.2370017137027</v>
      </c>
      <c r="T85" s="707">
        <f>M30</f>
        <v>1767.1702798337028</v>
      </c>
      <c r="U85" s="707">
        <f>N30</f>
        <v>244.01244188</v>
      </c>
      <c r="V85" s="707">
        <f>O30</f>
        <v>285.05427999999995</v>
      </c>
      <c r="W85" s="702"/>
      <c r="X85" s="702"/>
      <c r="Y85" s="702"/>
      <c r="Z85" s="702"/>
      <c r="AA85" s="702"/>
      <c r="AB85" s="702"/>
    </row>
    <row r="86" spans="17:28" ht="12.75">
      <c r="Q86" s="701"/>
      <c r="R86" s="702"/>
      <c r="S86" s="702"/>
      <c r="T86" s="702"/>
      <c r="U86" s="702"/>
      <c r="V86" s="702"/>
      <c r="W86" s="702"/>
      <c r="X86" s="702"/>
      <c r="Y86" s="702"/>
      <c r="Z86" s="702"/>
      <c r="AA86" s="702"/>
      <c r="AB86" s="702"/>
    </row>
    <row r="87" spans="17:28" ht="12.75">
      <c r="Q87" s="701"/>
      <c r="R87" s="702"/>
      <c r="S87" s="702"/>
      <c r="T87" s="702"/>
      <c r="U87" s="702"/>
      <c r="V87" s="702"/>
      <c r="W87" s="702"/>
      <c r="X87" s="702"/>
      <c r="Y87" s="702"/>
      <c r="Z87" s="702"/>
      <c r="AA87" s="702"/>
      <c r="AB87" s="702"/>
    </row>
    <row r="88" spans="17:28" ht="12.75">
      <c r="Q88" s="701"/>
      <c r="R88" s="702"/>
      <c r="S88" s="702"/>
      <c r="T88" s="702"/>
      <c r="U88" s="702"/>
      <c r="V88" s="702"/>
      <c r="W88" s="702"/>
      <c r="X88" s="702"/>
      <c r="Y88" s="702"/>
      <c r="Z88" s="702"/>
      <c r="AA88" s="702"/>
      <c r="AB88" s="702"/>
    </row>
    <row r="89" spans="17:28" ht="12.75">
      <c r="Q89" s="701"/>
      <c r="R89" s="702"/>
      <c r="S89" s="707" t="s">
        <v>11</v>
      </c>
      <c r="T89" s="707" t="s">
        <v>67</v>
      </c>
      <c r="U89" s="707" t="s">
        <v>10</v>
      </c>
      <c r="V89" s="707" t="s">
        <v>285</v>
      </c>
      <c r="W89" s="702"/>
      <c r="X89" s="702"/>
      <c r="Y89" s="702"/>
      <c r="Z89" s="702"/>
      <c r="AA89" s="702"/>
      <c r="AB89" s="702"/>
    </row>
    <row r="90" spans="17:28" ht="12.75">
      <c r="Q90" s="701"/>
      <c r="R90" s="711">
        <v>1995</v>
      </c>
      <c r="S90" s="719">
        <f aca="true" t="shared" si="22" ref="S90:U109">E11</f>
        <v>46.06673899999999</v>
      </c>
      <c r="T90" s="719">
        <f t="shared" si="22"/>
        <v>11.41265</v>
      </c>
      <c r="U90" s="719">
        <f t="shared" si="22"/>
        <v>163.39924000000002</v>
      </c>
      <c r="V90" s="719">
        <f aca="true" t="shared" si="23" ref="V90:V109">P11</f>
        <v>74.288</v>
      </c>
      <c r="W90" s="702"/>
      <c r="X90" s="702"/>
      <c r="Y90" s="702"/>
      <c r="Z90" s="702"/>
      <c r="AA90" s="702"/>
      <c r="AB90" s="702"/>
    </row>
    <row r="91" spans="17:28" ht="12.75">
      <c r="Q91" s="701"/>
      <c r="R91" s="711">
        <v>96</v>
      </c>
      <c r="S91" s="719">
        <f t="shared" si="22"/>
        <v>163.01889699999998</v>
      </c>
      <c r="T91" s="719">
        <f t="shared" si="22"/>
        <v>16.601</v>
      </c>
      <c r="U91" s="719">
        <f t="shared" si="22"/>
        <v>193.27748000000003</v>
      </c>
      <c r="V91" s="719">
        <f t="shared" si="23"/>
        <v>135.95</v>
      </c>
      <c r="W91" s="702"/>
      <c r="X91" s="702"/>
      <c r="Y91" s="702"/>
      <c r="Z91" s="702"/>
      <c r="AA91" s="702"/>
      <c r="AB91" s="702"/>
    </row>
    <row r="92" spans="17:28" ht="12.75">
      <c r="Q92" s="701"/>
      <c r="R92" s="711">
        <v>97</v>
      </c>
      <c r="S92" s="719">
        <f t="shared" si="22"/>
        <v>343.444131</v>
      </c>
      <c r="T92" s="719">
        <f t="shared" si="22"/>
        <v>32.72078</v>
      </c>
      <c r="U92" s="719">
        <f t="shared" si="22"/>
        <v>171.46097</v>
      </c>
      <c r="V92" s="719">
        <f t="shared" si="23"/>
        <v>46.558</v>
      </c>
      <c r="W92" s="702"/>
      <c r="X92" s="702"/>
      <c r="Y92" s="702"/>
      <c r="Z92" s="702"/>
      <c r="AA92" s="702"/>
      <c r="AB92" s="702"/>
    </row>
    <row r="93" spans="17:28" ht="12.75">
      <c r="Q93" s="701"/>
      <c r="R93" s="711">
        <v>98</v>
      </c>
      <c r="S93" s="719">
        <f t="shared" si="22"/>
        <v>365.363241</v>
      </c>
      <c r="T93" s="719">
        <f t="shared" si="22"/>
        <v>59.643269999999994</v>
      </c>
      <c r="U93" s="719">
        <f t="shared" si="22"/>
        <v>136.50492</v>
      </c>
      <c r="V93" s="719">
        <f t="shared" si="23"/>
        <v>51.488</v>
      </c>
      <c r="W93" s="702"/>
      <c r="X93" s="702"/>
      <c r="Y93" s="702"/>
      <c r="Z93" s="702"/>
      <c r="AA93" s="702"/>
      <c r="AB93" s="702"/>
    </row>
    <row r="94" spans="17:28" ht="12.75">
      <c r="Q94" s="701"/>
      <c r="R94" s="711">
        <v>99</v>
      </c>
      <c r="S94" s="719">
        <f t="shared" si="22"/>
        <v>417.232328</v>
      </c>
      <c r="T94" s="719">
        <f t="shared" si="22"/>
        <v>170.80662</v>
      </c>
      <c r="U94" s="719">
        <f t="shared" si="22"/>
        <v>121.50028001183432</v>
      </c>
      <c r="V94" s="719">
        <f t="shared" si="23"/>
        <v>54.64</v>
      </c>
      <c r="W94" s="702"/>
      <c r="X94" s="702"/>
      <c r="Y94" s="702"/>
      <c r="Z94" s="702"/>
      <c r="AA94" s="702"/>
      <c r="AB94" s="702"/>
    </row>
    <row r="95" spans="17:28" ht="12.75">
      <c r="Q95" s="701"/>
      <c r="R95" s="720">
        <v>2000</v>
      </c>
      <c r="S95" s="719">
        <f t="shared" si="22"/>
        <v>337.658</v>
      </c>
      <c r="T95" s="719">
        <f t="shared" si="22"/>
        <v>128.939</v>
      </c>
      <c r="U95" s="719">
        <f t="shared" si="22"/>
        <v>139.206</v>
      </c>
      <c r="V95" s="719">
        <f t="shared" si="23"/>
        <v>53.411</v>
      </c>
      <c r="W95" s="702"/>
      <c r="X95" s="702"/>
      <c r="Y95" s="702"/>
      <c r="Z95" s="702"/>
      <c r="AA95" s="702"/>
      <c r="AB95" s="702"/>
    </row>
    <row r="96" spans="17:28" ht="12.75">
      <c r="Q96" s="701"/>
      <c r="R96" s="720" t="s">
        <v>228</v>
      </c>
      <c r="S96" s="719">
        <f t="shared" si="22"/>
        <v>109.77217999999999</v>
      </c>
      <c r="T96" s="719">
        <f t="shared" si="22"/>
        <v>61.743</v>
      </c>
      <c r="U96" s="719">
        <f t="shared" si="22"/>
        <v>134.38179</v>
      </c>
      <c r="V96" s="719">
        <f t="shared" si="23"/>
        <v>45.167</v>
      </c>
      <c r="W96" s="702"/>
      <c r="X96" s="702"/>
      <c r="Y96" s="702"/>
      <c r="Z96" s="702"/>
      <c r="AA96" s="702"/>
      <c r="AB96" s="702"/>
    </row>
    <row r="97" spans="17:28" ht="12.75">
      <c r="Q97" s="701"/>
      <c r="R97" s="720" t="s">
        <v>229</v>
      </c>
      <c r="S97" s="719">
        <f t="shared" si="22"/>
        <v>107.84</v>
      </c>
      <c r="T97" s="719">
        <f t="shared" si="22"/>
        <v>37.657000000000004</v>
      </c>
      <c r="U97" s="719">
        <f t="shared" si="22"/>
        <v>96.702</v>
      </c>
      <c r="V97" s="719">
        <f t="shared" si="23"/>
        <v>17.33</v>
      </c>
      <c r="W97" s="702"/>
      <c r="X97" s="702"/>
      <c r="Y97" s="702"/>
      <c r="Z97" s="702"/>
      <c r="AA97" s="702"/>
      <c r="AB97" s="702"/>
    </row>
    <row r="98" spans="17:28" ht="12.75">
      <c r="Q98" s="701"/>
      <c r="R98" s="720" t="s">
        <v>230</v>
      </c>
      <c r="S98" s="719">
        <f t="shared" si="22"/>
        <v>87.165</v>
      </c>
      <c r="T98" s="719">
        <f t="shared" si="22"/>
        <v>12.826</v>
      </c>
      <c r="U98" s="719">
        <f t="shared" si="22"/>
        <v>91.966</v>
      </c>
      <c r="V98" s="719">
        <f t="shared" si="23"/>
        <v>43.428</v>
      </c>
      <c r="W98" s="702"/>
      <c r="X98" s="702"/>
      <c r="Y98" s="702"/>
      <c r="Z98" s="702"/>
      <c r="AA98" s="702"/>
      <c r="AB98" s="702"/>
    </row>
    <row r="99" spans="17:28" ht="12.75">
      <c r="Q99" s="701"/>
      <c r="R99" s="720" t="s">
        <v>231</v>
      </c>
      <c r="S99" s="719">
        <f t="shared" si="22"/>
        <v>159.566</v>
      </c>
      <c r="T99" s="719">
        <f t="shared" si="22"/>
        <v>24.366</v>
      </c>
      <c r="U99" s="719">
        <f t="shared" si="22"/>
        <v>100.763</v>
      </c>
      <c r="V99" s="719">
        <f t="shared" si="23"/>
        <v>39.078</v>
      </c>
      <c r="W99" s="702"/>
      <c r="X99" s="702"/>
      <c r="Y99" s="702"/>
      <c r="Z99" s="702"/>
      <c r="AA99" s="702"/>
      <c r="AB99" s="702"/>
    </row>
    <row r="100" spans="17:28" ht="12.75">
      <c r="Q100" s="701"/>
      <c r="R100" s="720" t="s">
        <v>232</v>
      </c>
      <c r="S100" s="719">
        <f t="shared" si="22"/>
        <v>193.49135</v>
      </c>
      <c r="T100" s="719">
        <f t="shared" si="22"/>
        <v>20.6339</v>
      </c>
      <c r="U100" s="719">
        <f t="shared" si="22"/>
        <v>134.36664</v>
      </c>
      <c r="V100" s="719">
        <f t="shared" si="23"/>
        <v>45.244</v>
      </c>
      <c r="W100" s="702"/>
      <c r="X100" s="702"/>
      <c r="Y100" s="702"/>
      <c r="Z100" s="702"/>
      <c r="AA100" s="702"/>
      <c r="AB100" s="702"/>
    </row>
    <row r="101" spans="17:28" ht="12.75">
      <c r="Q101" s="701"/>
      <c r="R101" s="720" t="s">
        <v>233</v>
      </c>
      <c r="S101" s="719">
        <f t="shared" si="22"/>
        <v>289.575</v>
      </c>
      <c r="T101" s="719">
        <f t="shared" si="22"/>
        <v>16.543</v>
      </c>
      <c r="U101" s="719">
        <f t="shared" si="22"/>
        <v>140.086</v>
      </c>
      <c r="V101" s="719">
        <f t="shared" si="23"/>
        <v>33.953</v>
      </c>
      <c r="W101" s="702"/>
      <c r="X101" s="702"/>
      <c r="Y101" s="702"/>
      <c r="Z101" s="702"/>
      <c r="AA101" s="702"/>
      <c r="AB101" s="702"/>
    </row>
    <row r="102" spans="17:28" ht="12.75">
      <c r="Q102" s="701"/>
      <c r="R102" s="720" t="s">
        <v>234</v>
      </c>
      <c r="S102" s="719">
        <f t="shared" si="22"/>
        <v>318.0303</v>
      </c>
      <c r="T102" s="719">
        <f t="shared" si="22"/>
        <v>69.63589999999999</v>
      </c>
      <c r="U102" s="719">
        <f t="shared" si="22"/>
        <v>151.40693</v>
      </c>
      <c r="V102" s="719">
        <f t="shared" si="23"/>
        <v>89.927</v>
      </c>
      <c r="W102" s="702"/>
      <c r="X102" s="702"/>
      <c r="Y102" s="702"/>
      <c r="Z102" s="702"/>
      <c r="AA102" s="702"/>
      <c r="AB102" s="702"/>
    </row>
    <row r="103" spans="17:28" ht="12.75">
      <c r="Q103" s="701"/>
      <c r="R103" s="720" t="s">
        <v>235</v>
      </c>
      <c r="S103" s="719">
        <f t="shared" si="22"/>
        <v>483.51</v>
      </c>
      <c r="T103" s="719">
        <f t="shared" si="22"/>
        <v>43.1</v>
      </c>
      <c r="U103" s="719">
        <f t="shared" si="22"/>
        <v>235.91</v>
      </c>
      <c r="V103" s="719">
        <f t="shared" si="23"/>
        <v>99.487</v>
      </c>
      <c r="W103" s="702"/>
      <c r="X103" s="702"/>
      <c r="Y103" s="702"/>
      <c r="Z103" s="702"/>
      <c r="AA103" s="702"/>
      <c r="AB103" s="702"/>
    </row>
    <row r="104" spans="17:28" ht="12.75">
      <c r="Q104" s="701"/>
      <c r="R104" s="720" t="s">
        <v>236</v>
      </c>
      <c r="S104" s="719">
        <f t="shared" si="22"/>
        <v>448.38329999999996</v>
      </c>
      <c r="T104" s="719">
        <f t="shared" si="22"/>
        <v>254.363</v>
      </c>
      <c r="U104" s="719">
        <f t="shared" si="22"/>
        <v>289.37342</v>
      </c>
      <c r="V104" s="719">
        <f t="shared" si="23"/>
        <v>184.722</v>
      </c>
      <c r="W104" s="702"/>
      <c r="X104" s="702"/>
      <c r="Y104" s="702"/>
      <c r="Z104" s="702"/>
      <c r="AA104" s="702"/>
      <c r="AB104" s="702"/>
    </row>
    <row r="105" spans="17:28" ht="12.75">
      <c r="Q105" s="701"/>
      <c r="R105" s="711">
        <v>10</v>
      </c>
      <c r="S105" s="719">
        <f t="shared" si="22"/>
        <v>558.6333822261485</v>
      </c>
      <c r="T105" s="719">
        <f t="shared" si="22"/>
        <v>332.5572</v>
      </c>
      <c r="U105" s="719">
        <f t="shared" si="22"/>
        <v>253.1712</v>
      </c>
      <c r="V105" s="719">
        <f t="shared" si="23"/>
        <v>223.376</v>
      </c>
      <c r="W105" s="702"/>
      <c r="X105" s="702"/>
      <c r="Y105" s="702"/>
      <c r="Z105" s="702"/>
      <c r="AA105" s="702"/>
      <c r="AB105" s="702"/>
    </row>
    <row r="106" spans="17:28" ht="12.75">
      <c r="Q106" s="701"/>
      <c r="R106" s="711">
        <v>11</v>
      </c>
      <c r="S106" s="719">
        <f t="shared" si="22"/>
        <v>1240.8</v>
      </c>
      <c r="T106" s="719">
        <f t="shared" si="22"/>
        <v>278.5</v>
      </c>
      <c r="U106" s="719">
        <f t="shared" si="22"/>
        <v>229.4</v>
      </c>
      <c r="V106" s="719">
        <f t="shared" si="23"/>
        <v>131.3</v>
      </c>
      <c r="W106" s="702"/>
      <c r="X106" s="702"/>
      <c r="Y106" s="702"/>
      <c r="Z106" s="702"/>
      <c r="AA106" s="702"/>
      <c r="AB106" s="702"/>
    </row>
    <row r="107" spans="17:28" ht="12.75">
      <c r="Q107" s="701"/>
      <c r="R107" s="711">
        <v>12</v>
      </c>
      <c r="S107" s="719">
        <f t="shared" si="22"/>
        <v>1781.40966045</v>
      </c>
      <c r="T107" s="719">
        <f t="shared" si="22"/>
        <v>470.27</v>
      </c>
      <c r="U107" s="719">
        <f t="shared" si="22"/>
        <v>337.36420000000004</v>
      </c>
      <c r="V107" s="719">
        <f t="shared" si="23"/>
        <v>149.8812093018218</v>
      </c>
      <c r="W107" s="702"/>
      <c r="X107" s="702"/>
      <c r="Y107" s="702"/>
      <c r="Z107" s="702"/>
      <c r="AA107" s="702"/>
      <c r="AB107" s="702"/>
    </row>
    <row r="108" spans="17:28" ht="12.75">
      <c r="Q108" s="701"/>
      <c r="R108" s="711">
        <v>13</v>
      </c>
      <c r="S108" s="719">
        <f t="shared" si="22"/>
        <v>1829.8335</v>
      </c>
      <c r="T108" s="719">
        <f t="shared" si="22"/>
        <v>188.4134</v>
      </c>
      <c r="U108" s="719">
        <f t="shared" si="22"/>
        <v>421.36850000000004</v>
      </c>
      <c r="V108" s="719">
        <f t="shared" si="23"/>
        <v>149.41353189887735</v>
      </c>
      <c r="W108" s="702"/>
      <c r="X108" s="702"/>
      <c r="Y108" s="702"/>
      <c r="Z108" s="702"/>
      <c r="AA108" s="702"/>
      <c r="AB108" s="702"/>
    </row>
    <row r="109" spans="17:28" ht="12.75">
      <c r="Q109" s="701"/>
      <c r="R109" s="711">
        <v>14</v>
      </c>
      <c r="S109" s="719">
        <f t="shared" si="22"/>
        <v>1829.2607998337028</v>
      </c>
      <c r="T109" s="719">
        <f t="shared" si="22"/>
        <v>244.01244188</v>
      </c>
      <c r="U109" s="719">
        <f t="shared" si="22"/>
        <v>401.2952535039676</v>
      </c>
      <c r="V109" s="719">
        <f t="shared" si="23"/>
        <v>111.02398648648649</v>
      </c>
      <c r="W109" s="702"/>
      <c r="X109" s="702"/>
      <c r="Y109" s="702"/>
      <c r="Z109" s="702"/>
      <c r="AA109" s="702"/>
      <c r="AB109" s="702"/>
    </row>
    <row r="110" spans="17:28" ht="12.75">
      <c r="Q110" s="701"/>
      <c r="R110" s="702"/>
      <c r="S110" s="702"/>
      <c r="T110" s="702"/>
      <c r="U110" s="702"/>
      <c r="V110" s="702"/>
      <c r="W110" s="702"/>
      <c r="X110" s="702"/>
      <c r="Y110" s="702"/>
      <c r="Z110" s="702"/>
      <c r="AA110" s="702"/>
      <c r="AB110" s="702"/>
    </row>
    <row r="111" spans="17:28" ht="12.75">
      <c r="Q111" s="701"/>
      <c r="R111" s="702"/>
      <c r="S111" s="702"/>
      <c r="T111" s="702"/>
      <c r="U111" s="702"/>
      <c r="V111" s="702"/>
      <c r="W111" s="702"/>
      <c r="X111" s="702"/>
      <c r="Y111" s="702"/>
      <c r="Z111" s="702"/>
      <c r="AA111" s="702"/>
      <c r="AB111" s="702"/>
    </row>
    <row r="112" spans="17:28" ht="12.75">
      <c r="Q112" s="701"/>
      <c r="R112" s="702"/>
      <c r="S112" s="702"/>
      <c r="T112" s="702"/>
      <c r="U112" s="702"/>
      <c r="V112" s="702"/>
      <c r="W112" s="702"/>
      <c r="X112" s="702"/>
      <c r="Y112" s="702"/>
      <c r="Z112" s="702"/>
      <c r="AA112" s="702"/>
      <c r="AB112" s="702"/>
    </row>
    <row r="113" spans="17:28" ht="12.75">
      <c r="Q113" s="701"/>
      <c r="R113" s="702"/>
      <c r="S113" s="702"/>
      <c r="T113" s="702"/>
      <c r="U113" s="702"/>
      <c r="V113" s="702"/>
      <c r="W113" s="702"/>
      <c r="X113" s="702"/>
      <c r="Y113" s="702"/>
      <c r="Z113" s="702"/>
      <c r="AA113" s="702"/>
      <c r="AB113" s="702"/>
    </row>
    <row r="114" spans="17:28" ht="12.75">
      <c r="Q114" s="701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</row>
    <row r="115" spans="17:28" ht="12.75">
      <c r="Q115" s="701"/>
      <c r="R115" s="702"/>
      <c r="S115" s="702"/>
      <c r="T115" s="702"/>
      <c r="U115" s="702"/>
      <c r="V115" s="702"/>
      <c r="W115" s="702"/>
      <c r="X115" s="702"/>
      <c r="Y115" s="702"/>
      <c r="Z115" s="702"/>
      <c r="AA115" s="702"/>
      <c r="AB115" s="702"/>
    </row>
    <row r="116" spans="17:28" ht="12.75">
      <c r="Q116" s="701"/>
      <c r="R116" s="702"/>
      <c r="S116" s="702"/>
      <c r="T116" s="702"/>
      <c r="U116" s="702"/>
      <c r="V116" s="702"/>
      <c r="W116" s="702"/>
      <c r="X116" s="702"/>
      <c r="Y116" s="702"/>
      <c r="Z116" s="702"/>
      <c r="AA116" s="702"/>
      <c r="AB116" s="702"/>
    </row>
    <row r="117" spans="17:28" ht="12.75">
      <c r="Q117" s="701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</row>
    <row r="118" spans="17:28" ht="12.75">
      <c r="Q118" s="701"/>
      <c r="R118" s="702"/>
      <c r="S118" s="702"/>
      <c r="T118" s="702"/>
      <c r="U118" s="702"/>
      <c r="V118" s="702"/>
      <c r="W118" s="702"/>
      <c r="X118" s="702"/>
      <c r="Y118" s="702"/>
      <c r="Z118" s="702"/>
      <c r="AA118" s="702"/>
      <c r="AB118" s="702"/>
    </row>
    <row r="119" spans="17:28" ht="12.75">
      <c r="Q119" s="701"/>
      <c r="R119" s="702"/>
      <c r="S119" s="702"/>
      <c r="T119" s="702"/>
      <c r="U119" s="702"/>
      <c r="V119" s="702"/>
      <c r="W119" s="702"/>
      <c r="X119" s="702"/>
      <c r="Y119" s="702"/>
      <c r="Z119" s="702"/>
      <c r="AA119" s="702"/>
      <c r="AB119" s="702"/>
    </row>
    <row r="120" spans="17:28" ht="12.75">
      <c r="Q120" s="701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</row>
    <row r="121" spans="17:28" ht="12.75">
      <c r="Q121" s="701"/>
      <c r="R121" s="702"/>
      <c r="S121" s="702"/>
      <c r="T121" s="702"/>
      <c r="U121" s="702"/>
      <c r="V121" s="702"/>
      <c r="W121" s="702"/>
      <c r="X121" s="702"/>
      <c r="Y121" s="702"/>
      <c r="Z121" s="702"/>
      <c r="AA121" s="702"/>
      <c r="AB121" s="702"/>
    </row>
    <row r="122" spans="17:28" ht="12.75">
      <c r="Q122" s="701"/>
      <c r="R122" s="702"/>
      <c r="S122" s="702"/>
      <c r="T122" s="702"/>
      <c r="U122" s="702"/>
      <c r="V122" s="702"/>
      <c r="W122" s="702"/>
      <c r="X122" s="702"/>
      <c r="Y122" s="702"/>
      <c r="Z122" s="702"/>
      <c r="AA122" s="702"/>
      <c r="AB122" s="702"/>
    </row>
    <row r="123" spans="17:28" ht="12.75">
      <c r="Q123" s="701"/>
      <c r="R123" s="702"/>
      <c r="S123" s="702"/>
      <c r="T123" s="702"/>
      <c r="U123" s="702"/>
      <c r="V123" s="702"/>
      <c r="W123" s="702"/>
      <c r="X123" s="702"/>
      <c r="Y123" s="702"/>
      <c r="Z123" s="702"/>
      <c r="AA123" s="702"/>
      <c r="AB123" s="702"/>
    </row>
    <row r="124" spans="17:28" ht="12.75">
      <c r="Q124" s="701"/>
      <c r="R124" s="702"/>
      <c r="S124" s="702"/>
      <c r="T124" s="702"/>
      <c r="U124" s="702"/>
      <c r="V124" s="702"/>
      <c r="W124" s="702"/>
      <c r="X124" s="702"/>
      <c r="Y124" s="702"/>
      <c r="Z124" s="702"/>
      <c r="AA124" s="702"/>
      <c r="AB124" s="702"/>
    </row>
    <row r="125" spans="17:28" ht="12.75">
      <c r="Q125" s="701"/>
      <c r="R125" s="702"/>
      <c r="S125" s="702"/>
      <c r="T125" s="702"/>
      <c r="U125" s="702"/>
      <c r="V125" s="702"/>
      <c r="W125" s="702"/>
      <c r="X125" s="702"/>
      <c r="Y125" s="702"/>
      <c r="Z125" s="702"/>
      <c r="AA125" s="702"/>
      <c r="AB125" s="702"/>
    </row>
    <row r="126" spans="17:28" ht="12.75">
      <c r="Q126" s="701"/>
      <c r="R126" s="702"/>
      <c r="S126" s="702"/>
      <c r="T126" s="702"/>
      <c r="U126" s="702"/>
      <c r="V126" s="702"/>
      <c r="W126" s="702"/>
      <c r="X126" s="702"/>
      <c r="Y126" s="702"/>
      <c r="Z126" s="702"/>
      <c r="AA126" s="702"/>
      <c r="AB126" s="702"/>
    </row>
    <row r="127" spans="17:28" ht="12.75">
      <c r="Q127" s="701"/>
      <c r="R127" s="702"/>
      <c r="S127" s="702"/>
      <c r="T127" s="702"/>
      <c r="U127" s="702"/>
      <c r="V127" s="702"/>
      <c r="W127" s="702"/>
      <c r="X127" s="702"/>
      <c r="Y127" s="702"/>
      <c r="Z127" s="702"/>
      <c r="AA127" s="702"/>
      <c r="AB127" s="702"/>
    </row>
    <row r="128" spans="17:28" ht="12.75">
      <c r="Q128" s="701"/>
      <c r="R128" s="702"/>
      <c r="S128" s="702"/>
      <c r="T128" s="702"/>
      <c r="U128" s="702"/>
      <c r="V128" s="702"/>
      <c r="W128" s="702"/>
      <c r="X128" s="702"/>
      <c r="Y128" s="702"/>
      <c r="Z128" s="702"/>
      <c r="AA128" s="702"/>
      <c r="AB128" s="702"/>
    </row>
    <row r="129" spans="17:28" ht="12.75">
      <c r="Q129" s="701"/>
      <c r="R129" s="702"/>
      <c r="S129" s="702"/>
      <c r="T129" s="702"/>
      <c r="U129" s="702"/>
      <c r="V129" s="702"/>
      <c r="W129" s="702"/>
      <c r="X129" s="702"/>
      <c r="Y129" s="702"/>
      <c r="Z129" s="702"/>
      <c r="AA129" s="702"/>
      <c r="AB129" s="702"/>
    </row>
    <row r="130" spans="17:28" ht="12.75">
      <c r="Q130" s="701"/>
      <c r="R130" s="702"/>
      <c r="S130" s="702"/>
      <c r="T130" s="702"/>
      <c r="U130" s="702"/>
      <c r="V130" s="702"/>
      <c r="W130" s="702"/>
      <c r="X130" s="702"/>
      <c r="Y130" s="702"/>
      <c r="Z130" s="702"/>
      <c r="AA130" s="702"/>
      <c r="AB130" s="702"/>
    </row>
    <row r="131" spans="17:28" ht="12.75">
      <c r="Q131" s="701"/>
      <c r="R131" s="702"/>
      <c r="S131" s="702"/>
      <c r="T131" s="702"/>
      <c r="U131" s="702"/>
      <c r="V131" s="702"/>
      <c r="W131" s="702"/>
      <c r="X131" s="702"/>
      <c r="Y131" s="702"/>
      <c r="Z131" s="702"/>
      <c r="AA131" s="702"/>
      <c r="AB131" s="702"/>
    </row>
    <row r="132" spans="17:28" ht="12.75">
      <c r="Q132" s="701"/>
      <c r="R132" s="702"/>
      <c r="S132" s="702"/>
      <c r="T132" s="702"/>
      <c r="U132" s="702"/>
      <c r="V132" s="702"/>
      <c r="W132" s="702"/>
      <c r="X132" s="702"/>
      <c r="Y132" s="702"/>
      <c r="Z132" s="702"/>
      <c r="AA132" s="702"/>
      <c r="AB132" s="702"/>
    </row>
    <row r="133" spans="17:28" ht="12.75">
      <c r="Q133" s="701"/>
      <c r="R133" s="702"/>
      <c r="S133" s="702"/>
      <c r="T133" s="702"/>
      <c r="U133" s="702"/>
      <c r="V133" s="702"/>
      <c r="W133" s="702"/>
      <c r="X133" s="702"/>
      <c r="Y133" s="702"/>
      <c r="Z133" s="702"/>
      <c r="AA133" s="702"/>
      <c r="AB133" s="702"/>
    </row>
    <row r="134" spans="17:28" ht="12.75">
      <c r="Q134" s="701"/>
      <c r="R134" s="702"/>
      <c r="S134" s="702"/>
      <c r="T134" s="702"/>
      <c r="U134" s="702"/>
      <c r="V134" s="702"/>
      <c r="W134" s="702"/>
      <c r="X134" s="702"/>
      <c r="Y134" s="702"/>
      <c r="Z134" s="702"/>
      <c r="AA134" s="702"/>
      <c r="AB134" s="702"/>
    </row>
    <row r="135" spans="17:28" ht="12.75">
      <c r="Q135" s="701"/>
      <c r="R135" s="702"/>
      <c r="S135" s="702"/>
      <c r="T135" s="702"/>
      <c r="U135" s="702"/>
      <c r="V135" s="702"/>
      <c r="W135" s="702"/>
      <c r="X135" s="702"/>
      <c r="Y135" s="702"/>
      <c r="Z135" s="702"/>
      <c r="AA135" s="702"/>
      <c r="AB135" s="702"/>
    </row>
    <row r="136" spans="17:28" ht="12.75">
      <c r="Q136" s="701"/>
      <c r="R136" s="702"/>
      <c r="S136" s="702"/>
      <c r="T136" s="702"/>
      <c r="U136" s="702"/>
      <c r="V136" s="702"/>
      <c r="W136" s="702"/>
      <c r="X136" s="702"/>
      <c r="Y136" s="702"/>
      <c r="Z136" s="702"/>
      <c r="AA136" s="702"/>
      <c r="AB136" s="702"/>
    </row>
    <row r="137" spans="17:28" ht="12.75">
      <c r="Q137" s="701"/>
      <c r="R137" s="702"/>
      <c r="S137" s="702"/>
      <c r="T137" s="702"/>
      <c r="U137" s="702"/>
      <c r="V137" s="702"/>
      <c r="W137" s="702"/>
      <c r="X137" s="702"/>
      <c r="Y137" s="702"/>
      <c r="Z137" s="702"/>
      <c r="AA137" s="702"/>
      <c r="AB137" s="702"/>
    </row>
    <row r="138" spans="17:28" ht="12.75">
      <c r="Q138" s="701"/>
      <c r="R138" s="702"/>
      <c r="S138" s="702"/>
      <c r="T138" s="702"/>
      <c r="U138" s="702"/>
      <c r="V138" s="702"/>
      <c r="W138" s="702"/>
      <c r="X138" s="702"/>
      <c r="Y138" s="702"/>
      <c r="Z138" s="702"/>
      <c r="AA138" s="702"/>
      <c r="AB138" s="702"/>
    </row>
    <row r="139" spans="17:28" ht="12.75">
      <c r="Q139" s="701"/>
      <c r="R139" s="702"/>
      <c r="S139" s="702"/>
      <c r="T139" s="702"/>
      <c r="U139" s="702"/>
      <c r="V139" s="702"/>
      <c r="W139" s="702"/>
      <c r="X139" s="702"/>
      <c r="Y139" s="702"/>
      <c r="Z139" s="702"/>
      <c r="AA139" s="702"/>
      <c r="AB139" s="702"/>
    </row>
    <row r="140" spans="17:28" ht="12.75">
      <c r="Q140" s="701"/>
      <c r="R140" s="702"/>
      <c r="S140" s="702"/>
      <c r="T140" s="702"/>
      <c r="U140" s="702"/>
      <c r="V140" s="702"/>
      <c r="W140" s="702"/>
      <c r="X140" s="702"/>
      <c r="Y140" s="702"/>
      <c r="Z140" s="702"/>
      <c r="AA140" s="702"/>
      <c r="AB140" s="702"/>
    </row>
    <row r="141" spans="17:28" ht="12.75">
      <c r="Q141" s="701"/>
      <c r="R141" s="702"/>
      <c r="S141" s="702"/>
      <c r="T141" s="702"/>
      <c r="U141" s="702"/>
      <c r="V141" s="702"/>
      <c r="W141" s="702"/>
      <c r="X141" s="702"/>
      <c r="Y141" s="702"/>
      <c r="Z141" s="702"/>
      <c r="AA141" s="702"/>
      <c r="AB141" s="702"/>
    </row>
    <row r="142" spans="17:28" ht="12.75">
      <c r="Q142" s="701"/>
      <c r="R142" s="702"/>
      <c r="S142" s="702"/>
      <c r="T142" s="702"/>
      <c r="U142" s="702"/>
      <c r="V142" s="702"/>
      <c r="W142" s="702"/>
      <c r="X142" s="702"/>
      <c r="Y142" s="702"/>
      <c r="Z142" s="702"/>
      <c r="AA142" s="702"/>
      <c r="AB142" s="702"/>
    </row>
    <row r="143" spans="17:28" ht="12.75">
      <c r="Q143" s="701"/>
      <c r="R143" s="702"/>
      <c r="S143" s="702"/>
      <c r="T143" s="702"/>
      <c r="U143" s="702"/>
      <c r="V143" s="702"/>
      <c r="W143" s="702"/>
      <c r="X143" s="702"/>
      <c r="Y143" s="702"/>
      <c r="Z143" s="702"/>
      <c r="AA143" s="702"/>
      <c r="AB143" s="702"/>
    </row>
    <row r="144" spans="17:28" ht="12.75">
      <c r="Q144" s="701"/>
      <c r="R144" s="702"/>
      <c r="S144" s="702"/>
      <c r="T144" s="702"/>
      <c r="U144" s="702"/>
      <c r="V144" s="702"/>
      <c r="W144" s="702"/>
      <c r="X144" s="702"/>
      <c r="Y144" s="702"/>
      <c r="Z144" s="702"/>
      <c r="AA144" s="702"/>
      <c r="AB144" s="702"/>
    </row>
    <row r="145" spans="17:28" ht="12.75">
      <c r="Q145" s="701"/>
      <c r="R145" s="702"/>
      <c r="S145" s="702"/>
      <c r="T145" s="702"/>
      <c r="U145" s="702"/>
      <c r="V145" s="702"/>
      <c r="W145" s="702"/>
      <c r="X145" s="702"/>
      <c r="Y145" s="702"/>
      <c r="Z145" s="702"/>
      <c r="AA145" s="702"/>
      <c r="AB145" s="702"/>
    </row>
    <row r="146" spans="17:28" ht="12.75">
      <c r="Q146" s="701"/>
      <c r="R146" s="702"/>
      <c r="S146" s="702"/>
      <c r="T146" s="702"/>
      <c r="U146" s="702"/>
      <c r="V146" s="702"/>
      <c r="W146" s="702"/>
      <c r="X146" s="702"/>
      <c r="Y146" s="702"/>
      <c r="Z146" s="702"/>
      <c r="AA146" s="702"/>
      <c r="AB146" s="702"/>
    </row>
    <row r="147" spans="17:28" ht="12.75">
      <c r="Q147" s="701"/>
      <c r="R147" s="702"/>
      <c r="S147" s="702"/>
      <c r="T147" s="702"/>
      <c r="U147" s="702"/>
      <c r="V147" s="702"/>
      <c r="W147" s="702"/>
      <c r="X147" s="702"/>
      <c r="Y147" s="702"/>
      <c r="Z147" s="702"/>
      <c r="AA147" s="702"/>
      <c r="AB147" s="702"/>
    </row>
    <row r="148" spans="17:28" ht="12.75">
      <c r="Q148" s="701"/>
      <c r="R148" s="702"/>
      <c r="S148" s="702"/>
      <c r="T148" s="702"/>
      <c r="U148" s="702"/>
      <c r="V148" s="702"/>
      <c r="W148" s="702"/>
      <c r="X148" s="702"/>
      <c r="Y148" s="702"/>
      <c r="Z148" s="702"/>
      <c r="AA148" s="702"/>
      <c r="AB148" s="702"/>
    </row>
    <row r="149" spans="17:28" ht="12.75">
      <c r="Q149" s="701"/>
      <c r="R149" s="702"/>
      <c r="S149" s="702"/>
      <c r="T149" s="702"/>
      <c r="U149" s="702"/>
      <c r="V149" s="702"/>
      <c r="W149" s="702"/>
      <c r="X149" s="702"/>
      <c r="Y149" s="702"/>
      <c r="Z149" s="702"/>
      <c r="AA149" s="702"/>
      <c r="AB149" s="702"/>
    </row>
    <row r="150" spans="17:28" ht="12.75">
      <c r="Q150" s="701"/>
      <c r="R150" s="702"/>
      <c r="S150" s="702"/>
      <c r="T150" s="702"/>
      <c r="U150" s="702"/>
      <c r="V150" s="702"/>
      <c r="W150" s="702"/>
      <c r="X150" s="702"/>
      <c r="Y150" s="702"/>
      <c r="Z150" s="702"/>
      <c r="AA150" s="702"/>
      <c r="AB150" s="702"/>
    </row>
    <row r="151" spans="17:28" ht="12.75">
      <c r="Q151" s="701"/>
      <c r="R151" s="702"/>
      <c r="S151" s="702"/>
      <c r="T151" s="702"/>
      <c r="U151" s="702"/>
      <c r="V151" s="702"/>
      <c r="W151" s="702"/>
      <c r="X151" s="702"/>
      <c r="Y151" s="702"/>
      <c r="Z151" s="702"/>
      <c r="AA151" s="702"/>
      <c r="AB151" s="702"/>
    </row>
    <row r="152" spans="17:28" ht="12.75">
      <c r="Q152" s="701"/>
      <c r="R152" s="702"/>
      <c r="S152" s="702"/>
      <c r="T152" s="702"/>
      <c r="U152" s="702"/>
      <c r="V152" s="702"/>
      <c r="W152" s="702"/>
      <c r="X152" s="702"/>
      <c r="Y152" s="702"/>
      <c r="Z152" s="702"/>
      <c r="AA152" s="702"/>
      <c r="AB152" s="702"/>
    </row>
    <row r="153" spans="17:28" ht="12.75">
      <c r="Q153" s="701"/>
      <c r="R153" s="702"/>
      <c r="S153" s="702"/>
      <c r="T153" s="702"/>
      <c r="U153" s="702"/>
      <c r="V153" s="702"/>
      <c r="W153" s="702"/>
      <c r="X153" s="702"/>
      <c r="Y153" s="702"/>
      <c r="Z153" s="702"/>
      <c r="AA153" s="702"/>
      <c r="AB153" s="702"/>
    </row>
    <row r="154" spans="17:28" ht="12.75">
      <c r="Q154" s="701"/>
      <c r="R154" s="702"/>
      <c r="S154" s="702"/>
      <c r="T154" s="702"/>
      <c r="U154" s="702"/>
      <c r="V154" s="702"/>
      <c r="W154" s="702"/>
      <c r="X154" s="702"/>
      <c r="Y154" s="702"/>
      <c r="Z154" s="702"/>
      <c r="AA154" s="702"/>
      <c r="AB154" s="702"/>
    </row>
    <row r="155" spans="17:28" ht="12.75">
      <c r="Q155" s="701"/>
      <c r="R155" s="702"/>
      <c r="S155" s="702"/>
      <c r="T155" s="702"/>
      <c r="U155" s="702"/>
      <c r="V155" s="702"/>
      <c r="W155" s="702"/>
      <c r="X155" s="702"/>
      <c r="Y155" s="702"/>
      <c r="Z155" s="702"/>
      <c r="AA155" s="702"/>
      <c r="AB155" s="702"/>
    </row>
    <row r="156" spans="17:28" ht="12.75">
      <c r="Q156" s="701"/>
      <c r="R156" s="702"/>
      <c r="S156" s="702"/>
      <c r="T156" s="702"/>
      <c r="U156" s="702"/>
      <c r="V156" s="702"/>
      <c r="W156" s="702"/>
      <c r="X156" s="702"/>
      <c r="Y156" s="702"/>
      <c r="Z156" s="702"/>
      <c r="AA156" s="702"/>
      <c r="AB156" s="702"/>
    </row>
    <row r="157" spans="17:28" ht="12.75">
      <c r="Q157" s="701"/>
      <c r="R157" s="702"/>
      <c r="S157" s="702"/>
      <c r="T157" s="702"/>
      <c r="U157" s="702"/>
      <c r="V157" s="702"/>
      <c r="W157" s="702"/>
      <c r="X157" s="702"/>
      <c r="Y157" s="702"/>
      <c r="Z157" s="702"/>
      <c r="AA157" s="702"/>
      <c r="AB157" s="702"/>
    </row>
    <row r="158" spans="17:28" ht="12.75">
      <c r="Q158" s="701"/>
      <c r="R158" s="702"/>
      <c r="S158" s="702"/>
      <c r="T158" s="702"/>
      <c r="U158" s="702"/>
      <c r="V158" s="702"/>
      <c r="W158" s="702"/>
      <c r="X158" s="702"/>
      <c r="Y158" s="702"/>
      <c r="Z158" s="702"/>
      <c r="AA158" s="702"/>
      <c r="AB158" s="702"/>
    </row>
    <row r="159" spans="17:28" ht="12.75">
      <c r="Q159" s="701"/>
      <c r="R159" s="702"/>
      <c r="S159" s="702"/>
      <c r="T159" s="702"/>
      <c r="U159" s="702"/>
      <c r="V159" s="702"/>
      <c r="W159" s="702"/>
      <c r="X159" s="702"/>
      <c r="Y159" s="702"/>
      <c r="Z159" s="702"/>
      <c r="AA159" s="702"/>
      <c r="AB159" s="702"/>
    </row>
    <row r="160" spans="17:28" ht="12.75">
      <c r="Q160" s="701"/>
      <c r="R160" s="702"/>
      <c r="S160" s="702"/>
      <c r="T160" s="702"/>
      <c r="U160" s="702"/>
      <c r="V160" s="702"/>
      <c r="W160" s="702"/>
      <c r="X160" s="702"/>
      <c r="Y160" s="702"/>
      <c r="Z160" s="702"/>
      <c r="AA160" s="702"/>
      <c r="AB160" s="702"/>
    </row>
    <row r="161" spans="17:28" ht="12.75">
      <c r="Q161" s="701"/>
      <c r="R161" s="702"/>
      <c r="S161" s="702"/>
      <c r="T161" s="702"/>
      <c r="U161" s="702"/>
      <c r="V161" s="702"/>
      <c r="W161" s="702"/>
      <c r="X161" s="702"/>
      <c r="Y161" s="702"/>
      <c r="Z161" s="702"/>
      <c r="AA161" s="702"/>
      <c r="AB161" s="702"/>
    </row>
    <row r="162" spans="17:28" ht="12.75">
      <c r="Q162" s="701"/>
      <c r="R162" s="702"/>
      <c r="S162" s="702"/>
      <c r="T162" s="702"/>
      <c r="U162" s="702"/>
      <c r="V162" s="702"/>
      <c r="W162" s="702"/>
      <c r="X162" s="702"/>
      <c r="Y162" s="702"/>
      <c r="Z162" s="702"/>
      <c r="AA162" s="702"/>
      <c r="AB162" s="702"/>
    </row>
    <row r="163" spans="17:28" ht="12.75">
      <c r="Q163" s="701"/>
      <c r="R163" s="702"/>
      <c r="S163" s="702"/>
      <c r="T163" s="702"/>
      <c r="U163" s="702"/>
      <c r="V163" s="702"/>
      <c r="W163" s="702"/>
      <c r="X163" s="702"/>
      <c r="Y163" s="702"/>
      <c r="Z163" s="702"/>
      <c r="AA163" s="702"/>
      <c r="AB163" s="702"/>
    </row>
    <row r="164" spans="17:28" ht="12.75">
      <c r="Q164" s="701"/>
      <c r="R164" s="702"/>
      <c r="S164" s="702"/>
      <c r="T164" s="702"/>
      <c r="U164" s="702"/>
      <c r="V164" s="702"/>
      <c r="W164" s="702"/>
      <c r="X164" s="702"/>
      <c r="Y164" s="702"/>
      <c r="Z164" s="702"/>
      <c r="AA164" s="702"/>
      <c r="AB164" s="702"/>
    </row>
    <row r="165" spans="17:28" ht="12.75">
      <c r="Q165" s="701"/>
      <c r="R165" s="702"/>
      <c r="S165" s="702"/>
      <c r="T165" s="702"/>
      <c r="U165" s="702"/>
      <c r="V165" s="702"/>
      <c r="W165" s="702"/>
      <c r="X165" s="702"/>
      <c r="Y165" s="702"/>
      <c r="Z165" s="702"/>
      <c r="AA165" s="702"/>
      <c r="AB165" s="702"/>
    </row>
    <row r="166" spans="17:28" ht="12.75">
      <c r="Q166" s="701"/>
      <c r="R166" s="702"/>
      <c r="S166" s="702"/>
      <c r="T166" s="702"/>
      <c r="U166" s="702"/>
      <c r="V166" s="702"/>
      <c r="W166" s="702"/>
      <c r="X166" s="702"/>
      <c r="Y166" s="702"/>
      <c r="Z166" s="702"/>
      <c r="AA166" s="702"/>
      <c r="AB166" s="702"/>
    </row>
    <row r="167" spans="17:28" ht="12.75">
      <c r="Q167" s="701"/>
      <c r="R167" s="702"/>
      <c r="S167" s="702"/>
      <c r="T167" s="702"/>
      <c r="U167" s="702"/>
      <c r="V167" s="702"/>
      <c r="W167" s="702"/>
      <c r="X167" s="702"/>
      <c r="Y167" s="702"/>
      <c r="Z167" s="702"/>
      <c r="AA167" s="702"/>
      <c r="AB167" s="702"/>
    </row>
    <row r="168" spans="17:28" ht="12.75">
      <c r="Q168" s="701"/>
      <c r="R168" s="702"/>
      <c r="S168" s="702"/>
      <c r="T168" s="702"/>
      <c r="U168" s="702"/>
      <c r="V168" s="702"/>
      <c r="W168" s="702"/>
      <c r="X168" s="702"/>
      <c r="Y168" s="702"/>
      <c r="Z168" s="702"/>
      <c r="AA168" s="702"/>
      <c r="AB168" s="702"/>
    </row>
    <row r="169" spans="17:28" ht="12.75">
      <c r="Q169" s="701"/>
      <c r="R169" s="702"/>
      <c r="S169" s="702"/>
      <c r="T169" s="702"/>
      <c r="U169" s="702"/>
      <c r="V169" s="702"/>
      <c r="W169" s="702"/>
      <c r="X169" s="702"/>
      <c r="Y169" s="702"/>
      <c r="Z169" s="702"/>
      <c r="AA169" s="702"/>
      <c r="AB169" s="702"/>
    </row>
    <row r="170" spans="17:28" ht="12.75">
      <c r="Q170" s="701"/>
      <c r="R170" s="702"/>
      <c r="S170" s="702"/>
      <c r="T170" s="702"/>
      <c r="U170" s="702"/>
      <c r="V170" s="702"/>
      <c r="W170" s="702"/>
      <c r="X170" s="702"/>
      <c r="Y170" s="702"/>
      <c r="Z170" s="702"/>
      <c r="AA170" s="702"/>
      <c r="AB170" s="702"/>
    </row>
    <row r="171" spans="17:28" ht="12.75">
      <c r="Q171" s="701"/>
      <c r="R171" s="702"/>
      <c r="S171" s="702"/>
      <c r="T171" s="702"/>
      <c r="U171" s="702"/>
      <c r="V171" s="702"/>
      <c r="W171" s="702"/>
      <c r="X171" s="702"/>
      <c r="Y171" s="702"/>
      <c r="Z171" s="702"/>
      <c r="AA171" s="702"/>
      <c r="AB171" s="702"/>
    </row>
    <row r="172" spans="17:28" ht="12.75">
      <c r="Q172" s="701"/>
      <c r="R172" s="702"/>
      <c r="S172" s="702"/>
      <c r="T172" s="702"/>
      <c r="U172" s="702"/>
      <c r="V172" s="702"/>
      <c r="W172" s="702"/>
      <c r="X172" s="702"/>
      <c r="Y172" s="702"/>
      <c r="Z172" s="702"/>
      <c r="AA172" s="702"/>
      <c r="AB172" s="702"/>
    </row>
    <row r="173" spans="17:28" ht="12.75">
      <c r="Q173" s="701"/>
      <c r="R173" s="702"/>
      <c r="S173" s="702"/>
      <c r="T173" s="702"/>
      <c r="U173" s="702"/>
      <c r="V173" s="702"/>
      <c r="W173" s="702"/>
      <c r="X173" s="702"/>
      <c r="Y173" s="702"/>
      <c r="Z173" s="702"/>
      <c r="AA173" s="702"/>
      <c r="AB173" s="702"/>
    </row>
    <row r="174" spans="17:28" ht="12.75">
      <c r="Q174" s="701"/>
      <c r="R174" s="702"/>
      <c r="S174" s="702"/>
      <c r="T174" s="702"/>
      <c r="U174" s="702"/>
      <c r="V174" s="702"/>
      <c r="W174" s="702"/>
      <c r="X174" s="702"/>
      <c r="Y174" s="702"/>
      <c r="Z174" s="702"/>
      <c r="AA174" s="702"/>
      <c r="AB174" s="702"/>
    </row>
    <row r="175" spans="17:28" ht="12.75">
      <c r="Q175" s="701"/>
      <c r="R175" s="702"/>
      <c r="S175" s="702"/>
      <c r="T175" s="702"/>
      <c r="U175" s="702"/>
      <c r="V175" s="702"/>
      <c r="W175" s="702"/>
      <c r="X175" s="702"/>
      <c r="Y175" s="702"/>
      <c r="Z175" s="702"/>
      <c r="AA175" s="702"/>
      <c r="AB175" s="702"/>
    </row>
    <row r="176" spans="17:28" ht="12.75">
      <c r="Q176" s="701"/>
      <c r="R176" s="702"/>
      <c r="S176" s="702"/>
      <c r="T176" s="702"/>
      <c r="U176" s="702"/>
      <c r="V176" s="702"/>
      <c r="W176" s="702"/>
      <c r="X176" s="702"/>
      <c r="Y176" s="702"/>
      <c r="Z176" s="702"/>
      <c r="AA176" s="702"/>
      <c r="AB176" s="702"/>
    </row>
    <row r="177" spans="17:28" ht="12.75">
      <c r="Q177" s="701"/>
      <c r="R177" s="702"/>
      <c r="S177" s="702"/>
      <c r="T177" s="702"/>
      <c r="U177" s="702"/>
      <c r="V177" s="702"/>
      <c r="W177" s="702"/>
      <c r="X177" s="702"/>
      <c r="Y177" s="702"/>
      <c r="Z177" s="702"/>
      <c r="AA177" s="702"/>
      <c r="AB177" s="702"/>
    </row>
    <row r="178" spans="17:28" ht="12.75">
      <c r="Q178" s="701"/>
      <c r="R178" s="702"/>
      <c r="S178" s="702"/>
      <c r="T178" s="702"/>
      <c r="U178" s="702"/>
      <c r="V178" s="702"/>
      <c r="W178" s="702"/>
      <c r="X178" s="702"/>
      <c r="Y178" s="702"/>
      <c r="Z178" s="702"/>
      <c r="AA178" s="702"/>
      <c r="AB178" s="702"/>
    </row>
    <row r="179" spans="17:28" ht="12.75">
      <c r="Q179" s="701"/>
      <c r="R179" s="702"/>
      <c r="S179" s="702"/>
      <c r="T179" s="702"/>
      <c r="U179" s="702"/>
      <c r="V179" s="702"/>
      <c r="W179" s="702"/>
      <c r="X179" s="702"/>
      <c r="Y179" s="702"/>
      <c r="Z179" s="702"/>
      <c r="AA179" s="702"/>
      <c r="AB179" s="702"/>
    </row>
    <row r="180" spans="17:28" ht="12.75">
      <c r="Q180" s="701"/>
      <c r="R180" s="702"/>
      <c r="S180" s="702"/>
      <c r="T180" s="702"/>
      <c r="U180" s="702"/>
      <c r="V180" s="702"/>
      <c r="W180" s="702"/>
      <c r="X180" s="702"/>
      <c r="Y180" s="702"/>
      <c r="Z180" s="702"/>
      <c r="AA180" s="702"/>
      <c r="AB180" s="702"/>
    </row>
    <row r="181" spans="17:28" ht="12.75">
      <c r="Q181" s="701"/>
      <c r="R181" s="702"/>
      <c r="S181" s="702"/>
      <c r="T181" s="702"/>
      <c r="U181" s="702"/>
      <c r="V181" s="702"/>
      <c r="W181" s="702"/>
      <c r="X181" s="702"/>
      <c r="Y181" s="702"/>
      <c r="Z181" s="702"/>
      <c r="AA181" s="702"/>
      <c r="AB181" s="702"/>
    </row>
    <row r="182" spans="17:28" ht="12.75">
      <c r="Q182" s="701"/>
      <c r="R182" s="702"/>
      <c r="S182" s="702"/>
      <c r="T182" s="702"/>
      <c r="U182" s="702"/>
      <c r="V182" s="702"/>
      <c r="W182" s="702"/>
      <c r="X182" s="702"/>
      <c r="Y182" s="702"/>
      <c r="Z182" s="702"/>
      <c r="AA182" s="702"/>
      <c r="AB182" s="702"/>
    </row>
    <row r="183" spans="17:28" ht="12.75">
      <c r="Q183" s="701"/>
      <c r="R183" s="702"/>
      <c r="S183" s="702"/>
      <c r="T183" s="702"/>
      <c r="U183" s="702"/>
      <c r="V183" s="702"/>
      <c r="W183" s="702"/>
      <c r="X183" s="702"/>
      <c r="Y183" s="702"/>
      <c r="Z183" s="702"/>
      <c r="AA183" s="702"/>
      <c r="AB183" s="702"/>
    </row>
    <row r="184" spans="17:28" ht="12.75">
      <c r="Q184" s="701"/>
      <c r="R184" s="702"/>
      <c r="S184" s="702"/>
      <c r="T184" s="702"/>
      <c r="U184" s="702"/>
      <c r="V184" s="702"/>
      <c r="W184" s="702"/>
      <c r="X184" s="702"/>
      <c r="Y184" s="702"/>
      <c r="Z184" s="702"/>
      <c r="AA184" s="702"/>
      <c r="AB184" s="702"/>
    </row>
    <row r="185" spans="17:28" ht="12.75">
      <c r="Q185" s="701"/>
      <c r="R185" s="702"/>
      <c r="S185" s="702"/>
      <c r="T185" s="702"/>
      <c r="U185" s="702"/>
      <c r="V185" s="702"/>
      <c r="W185" s="702"/>
      <c r="X185" s="702"/>
      <c r="Y185" s="702"/>
      <c r="Z185" s="702"/>
      <c r="AA185" s="702"/>
      <c r="AB185" s="702"/>
    </row>
    <row r="186" spans="17:28" ht="12.75">
      <c r="Q186" s="701"/>
      <c r="R186" s="702"/>
      <c r="S186" s="702"/>
      <c r="T186" s="702"/>
      <c r="U186" s="702"/>
      <c r="V186" s="702"/>
      <c r="W186" s="702"/>
      <c r="X186" s="702"/>
      <c r="Y186" s="702"/>
      <c r="Z186" s="702"/>
      <c r="AA186" s="702"/>
      <c r="AB186" s="702"/>
    </row>
    <row r="187" spans="17:28" ht="12.75">
      <c r="Q187" s="701"/>
      <c r="R187" s="702"/>
      <c r="S187" s="702"/>
      <c r="T187" s="702"/>
      <c r="U187" s="702"/>
      <c r="V187" s="702"/>
      <c r="W187" s="702"/>
      <c r="X187" s="702"/>
      <c r="Y187" s="702"/>
      <c r="Z187" s="702"/>
      <c r="AA187" s="702"/>
      <c r="AB187" s="702"/>
    </row>
    <row r="188" spans="17:28" ht="12.75">
      <c r="Q188" s="701"/>
      <c r="R188" s="702"/>
      <c r="S188" s="702"/>
      <c r="T188" s="702"/>
      <c r="U188" s="702"/>
      <c r="V188" s="702"/>
      <c r="W188" s="702"/>
      <c r="X188" s="702"/>
      <c r="Y188" s="702"/>
      <c r="Z188" s="702"/>
      <c r="AA188" s="702"/>
      <c r="AB188" s="702"/>
    </row>
    <row r="189" spans="17:28" ht="12.75">
      <c r="Q189" s="701"/>
      <c r="R189" s="702"/>
      <c r="S189" s="702"/>
      <c r="T189" s="702"/>
      <c r="U189" s="702"/>
      <c r="V189" s="702"/>
      <c r="W189" s="702"/>
      <c r="X189" s="702"/>
      <c r="Y189" s="702"/>
      <c r="Z189" s="702"/>
      <c r="AA189" s="702"/>
      <c r="AB189" s="702"/>
    </row>
    <row r="190" spans="17:28" ht="12.75">
      <c r="Q190" s="701"/>
      <c r="R190" s="702"/>
      <c r="S190" s="702"/>
      <c r="T190" s="702"/>
      <c r="U190" s="702"/>
      <c r="V190" s="702"/>
      <c r="W190" s="702"/>
      <c r="X190" s="702"/>
      <c r="Y190" s="702"/>
      <c r="Z190" s="702"/>
      <c r="AA190" s="702"/>
      <c r="AB190" s="702"/>
    </row>
    <row r="191" spans="17:28" ht="12.75">
      <c r="Q191" s="701"/>
      <c r="R191" s="702"/>
      <c r="S191" s="702"/>
      <c r="T191" s="702"/>
      <c r="U191" s="702"/>
      <c r="V191" s="702"/>
      <c r="W191" s="702"/>
      <c r="X191" s="702"/>
      <c r="Y191" s="702"/>
      <c r="Z191" s="702"/>
      <c r="AA191" s="702"/>
      <c r="AB191" s="702"/>
    </row>
    <row r="192" spans="17:28" ht="12.75">
      <c r="Q192" s="701"/>
      <c r="R192" s="702"/>
      <c r="S192" s="702"/>
      <c r="T192" s="702"/>
      <c r="U192" s="702"/>
      <c r="V192" s="702"/>
      <c r="W192" s="702"/>
      <c r="X192" s="702"/>
      <c r="Y192" s="702"/>
      <c r="Z192" s="702"/>
      <c r="AA192" s="702"/>
      <c r="AB192" s="702"/>
    </row>
    <row r="193" spans="17:28" ht="12.75">
      <c r="Q193" s="701"/>
      <c r="R193" s="702"/>
      <c r="S193" s="702"/>
      <c r="T193" s="702"/>
      <c r="U193" s="702"/>
      <c r="V193" s="702"/>
      <c r="W193" s="702"/>
      <c r="X193" s="702"/>
      <c r="Y193" s="702"/>
      <c r="Z193" s="702"/>
      <c r="AA193" s="702"/>
      <c r="AB193" s="702"/>
    </row>
    <row r="194" spans="17:28" ht="12.75">
      <c r="Q194" s="701"/>
      <c r="R194" s="702"/>
      <c r="S194" s="702"/>
      <c r="T194" s="702"/>
      <c r="U194" s="702"/>
      <c r="V194" s="702"/>
      <c r="W194" s="702"/>
      <c r="X194" s="702"/>
      <c r="Y194" s="702"/>
      <c r="Z194" s="702"/>
      <c r="AA194" s="702"/>
      <c r="AB194" s="702"/>
    </row>
    <row r="195" spans="17:28" ht="12.75">
      <c r="Q195" s="701"/>
      <c r="R195" s="702"/>
      <c r="S195" s="702"/>
      <c r="T195" s="702"/>
      <c r="U195" s="702"/>
      <c r="V195" s="702"/>
      <c r="W195" s="702"/>
      <c r="X195" s="702"/>
      <c r="Y195" s="702"/>
      <c r="Z195" s="702"/>
      <c r="AA195" s="702"/>
      <c r="AB195" s="702"/>
    </row>
    <row r="196" spans="17:28" ht="12.75">
      <c r="Q196" s="701"/>
      <c r="R196" s="702"/>
      <c r="S196" s="702"/>
      <c r="T196" s="702"/>
      <c r="U196" s="702"/>
      <c r="V196" s="702"/>
      <c r="W196" s="702"/>
      <c r="X196" s="702"/>
      <c r="Y196" s="702"/>
      <c r="Z196" s="702"/>
      <c r="AA196" s="702"/>
      <c r="AB196" s="702"/>
    </row>
    <row r="197" spans="17:28" ht="12.75">
      <c r="Q197" s="701"/>
      <c r="R197" s="702"/>
      <c r="S197" s="702"/>
      <c r="T197" s="702"/>
      <c r="U197" s="702"/>
      <c r="V197" s="702"/>
      <c r="W197" s="702"/>
      <c r="X197" s="702"/>
      <c r="Y197" s="702"/>
      <c r="Z197" s="702"/>
      <c r="AA197" s="702"/>
      <c r="AB197" s="702"/>
    </row>
    <row r="198" spans="17:28" ht="12.75">
      <c r="Q198" s="701"/>
      <c r="R198" s="702"/>
      <c r="S198" s="702"/>
      <c r="T198" s="702"/>
      <c r="U198" s="702"/>
      <c r="V198" s="702"/>
      <c r="W198" s="702"/>
      <c r="X198" s="702"/>
      <c r="Y198" s="702"/>
      <c r="Z198" s="702"/>
      <c r="AA198" s="702"/>
      <c r="AB198" s="702"/>
    </row>
    <row r="199" spans="17:28" ht="12.75">
      <c r="Q199" s="701"/>
      <c r="R199" s="702"/>
      <c r="S199" s="702"/>
      <c r="T199" s="702"/>
      <c r="U199" s="702"/>
      <c r="V199" s="702"/>
      <c r="W199" s="702"/>
      <c r="X199" s="702"/>
      <c r="Y199" s="702"/>
      <c r="Z199" s="702"/>
      <c r="AA199" s="702"/>
      <c r="AB199" s="702"/>
    </row>
    <row r="200" spans="17:28" ht="12.75">
      <c r="Q200" s="701"/>
      <c r="R200" s="702"/>
      <c r="S200" s="702"/>
      <c r="T200" s="702"/>
      <c r="U200" s="702"/>
      <c r="V200" s="702"/>
      <c r="W200" s="702"/>
      <c r="X200" s="702"/>
      <c r="Y200" s="702"/>
      <c r="Z200" s="702"/>
      <c r="AA200" s="702"/>
      <c r="AB200" s="702"/>
    </row>
    <row r="201" spans="17:28" ht="12.75">
      <c r="Q201" s="701"/>
      <c r="R201" s="702"/>
      <c r="S201" s="702"/>
      <c r="T201" s="702"/>
      <c r="U201" s="702"/>
      <c r="V201" s="702"/>
      <c r="W201" s="702"/>
      <c r="X201" s="702"/>
      <c r="Y201" s="702"/>
      <c r="Z201" s="702"/>
      <c r="AA201" s="702"/>
      <c r="AB201" s="702"/>
    </row>
    <row r="202" spans="17:28" ht="12.75">
      <c r="Q202" s="701"/>
      <c r="R202" s="702"/>
      <c r="S202" s="702"/>
      <c r="T202" s="702"/>
      <c r="U202" s="702"/>
      <c r="V202" s="702"/>
      <c r="W202" s="702"/>
      <c r="X202" s="702"/>
      <c r="Y202" s="702"/>
      <c r="Z202" s="702"/>
      <c r="AA202" s="702"/>
      <c r="AB202" s="702"/>
    </row>
    <row r="203" spans="17:28" ht="12.75">
      <c r="Q203" s="701"/>
      <c r="R203" s="702"/>
      <c r="S203" s="702"/>
      <c r="T203" s="702"/>
      <c r="U203" s="702"/>
      <c r="V203" s="702"/>
      <c r="W203" s="702"/>
      <c r="X203" s="702"/>
      <c r="Y203" s="702"/>
      <c r="Z203" s="702"/>
      <c r="AA203" s="702"/>
      <c r="AB203" s="702"/>
    </row>
    <row r="204" spans="17:28" ht="12.75">
      <c r="Q204" s="701"/>
      <c r="R204" s="702"/>
      <c r="S204" s="702"/>
      <c r="T204" s="702"/>
      <c r="U204" s="702"/>
      <c r="V204" s="702"/>
      <c r="W204" s="702"/>
      <c r="X204" s="702"/>
      <c r="Y204" s="702"/>
      <c r="Z204" s="702"/>
      <c r="AA204" s="702"/>
      <c r="AB204" s="702"/>
    </row>
    <row r="205" spans="17:28" ht="12.75">
      <c r="Q205" s="701"/>
      <c r="R205" s="702"/>
      <c r="S205" s="702"/>
      <c r="T205" s="702"/>
      <c r="U205" s="702"/>
      <c r="V205" s="702"/>
      <c r="W205" s="702"/>
      <c r="X205" s="702"/>
      <c r="Y205" s="702"/>
      <c r="Z205" s="702"/>
      <c r="AA205" s="702"/>
      <c r="AB205" s="702"/>
    </row>
    <row r="206" spans="17:28" ht="12.75">
      <c r="Q206" s="701"/>
      <c r="R206" s="702"/>
      <c r="S206" s="702"/>
      <c r="T206" s="702"/>
      <c r="U206" s="702"/>
      <c r="V206" s="702"/>
      <c r="W206" s="702"/>
      <c r="X206" s="702"/>
      <c r="Y206" s="702"/>
      <c r="Z206" s="702"/>
      <c r="AA206" s="702"/>
      <c r="AB206" s="702"/>
    </row>
    <row r="207" spans="17:28" ht="12.75">
      <c r="Q207" s="701"/>
      <c r="R207" s="702"/>
      <c r="S207" s="702"/>
      <c r="T207" s="702"/>
      <c r="U207" s="702"/>
      <c r="V207" s="702"/>
      <c r="W207" s="702"/>
      <c r="X207" s="702"/>
      <c r="Y207" s="702"/>
      <c r="Z207" s="702"/>
      <c r="AA207" s="702"/>
      <c r="AB207" s="702"/>
    </row>
    <row r="208" spans="17:28" ht="12.75">
      <c r="Q208" s="701"/>
      <c r="R208" s="702"/>
      <c r="S208" s="702"/>
      <c r="T208" s="702"/>
      <c r="U208" s="702"/>
      <c r="V208" s="702"/>
      <c r="W208" s="702"/>
      <c r="X208" s="702"/>
      <c r="Y208" s="702"/>
      <c r="Z208" s="702"/>
      <c r="AA208" s="702"/>
      <c r="AB208" s="702"/>
    </row>
    <row r="209" spans="17:28" ht="12.75">
      <c r="Q209" s="701"/>
      <c r="R209" s="702"/>
      <c r="S209" s="702"/>
      <c r="T209" s="702"/>
      <c r="U209" s="702"/>
      <c r="V209" s="702"/>
      <c r="W209" s="702"/>
      <c r="X209" s="702"/>
      <c r="Y209" s="702"/>
      <c r="Z209" s="702"/>
      <c r="AA209" s="702"/>
      <c r="AB209" s="702"/>
    </row>
    <row r="210" spans="17:28" ht="12.75">
      <c r="Q210" s="701"/>
      <c r="R210" s="702"/>
      <c r="S210" s="702"/>
      <c r="T210" s="702"/>
      <c r="U210" s="702"/>
      <c r="V210" s="702"/>
      <c r="W210" s="702"/>
      <c r="X210" s="702"/>
      <c r="Y210" s="702"/>
      <c r="Z210" s="702"/>
      <c r="AA210" s="702"/>
      <c r="AB210" s="702"/>
    </row>
    <row r="211" spans="17:28" ht="12.75">
      <c r="Q211" s="701"/>
      <c r="R211" s="702"/>
      <c r="S211" s="702"/>
      <c r="T211" s="702"/>
      <c r="U211" s="702"/>
      <c r="V211" s="702"/>
      <c r="W211" s="702"/>
      <c r="X211" s="702"/>
      <c r="Y211" s="702"/>
      <c r="Z211" s="702"/>
      <c r="AA211" s="702"/>
      <c r="AB211" s="702"/>
    </row>
    <row r="212" spans="17:28" ht="12.75">
      <c r="Q212" s="701"/>
      <c r="R212" s="702"/>
      <c r="S212" s="702"/>
      <c r="T212" s="702"/>
      <c r="U212" s="702"/>
      <c r="V212" s="702"/>
      <c r="W212" s="702"/>
      <c r="X212" s="702"/>
      <c r="Y212" s="702"/>
      <c r="Z212" s="702"/>
      <c r="AA212" s="702"/>
      <c r="AB212" s="702"/>
    </row>
    <row r="213" spans="17:28" ht="12.75">
      <c r="Q213" s="701"/>
      <c r="R213" s="702"/>
      <c r="S213" s="702"/>
      <c r="T213" s="702"/>
      <c r="U213" s="702"/>
      <c r="V213" s="702"/>
      <c r="W213" s="702"/>
      <c r="X213" s="702"/>
      <c r="Y213" s="702"/>
      <c r="Z213" s="702"/>
      <c r="AA213" s="702"/>
      <c r="AB213" s="702"/>
    </row>
    <row r="214" spans="17:28" ht="12.75">
      <c r="Q214" s="701"/>
      <c r="R214" s="702"/>
      <c r="S214" s="702"/>
      <c r="T214" s="702"/>
      <c r="U214" s="702"/>
      <c r="V214" s="702"/>
      <c r="W214" s="702"/>
      <c r="X214" s="702"/>
      <c r="Y214" s="702"/>
      <c r="Z214" s="702"/>
      <c r="AA214" s="702"/>
      <c r="AB214" s="702"/>
    </row>
    <row r="215" spans="17:28" ht="12.75">
      <c r="Q215" s="701"/>
      <c r="R215" s="702"/>
      <c r="S215" s="702"/>
      <c r="T215" s="702"/>
      <c r="U215" s="702"/>
      <c r="V215" s="702"/>
      <c r="W215" s="702"/>
      <c r="X215" s="702"/>
      <c r="Y215" s="702"/>
      <c r="Z215" s="702"/>
      <c r="AA215" s="702"/>
      <c r="AB215" s="702"/>
    </row>
  </sheetData>
  <sheetProtection/>
  <mergeCells count="6">
    <mergeCell ref="B7:B8"/>
    <mergeCell ref="D7:G7"/>
    <mergeCell ref="H7:K7"/>
    <mergeCell ref="L7:O7"/>
    <mergeCell ref="P7:P9"/>
    <mergeCell ref="R34:R35"/>
  </mergeCells>
  <printOptions horizontalCentered="1"/>
  <pageMargins left="0.7874015748031497" right="0.7874015748031497" top="0.7874015748031497" bottom="0.3937007874015748" header="0" footer="0"/>
  <pageSetup fitToHeight="2" fitToWidth="1" horizontalDpi="600" verticalDpi="600" orientation="portrait" paperSize="9" scale="4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5:BK150"/>
  <sheetViews>
    <sheetView showGridLines="0" view="pageBreakPreview" zoomScaleNormal="70" zoomScaleSheetLayoutView="100" zoomScalePageLayoutView="0" workbookViewId="0" topLeftCell="A1">
      <pane xSplit="2" ySplit="9" topLeftCell="H8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05" sqref="H105:L105"/>
    </sheetView>
  </sheetViews>
  <sheetFormatPr defaultColWidth="11.421875" defaultRowHeight="12.75"/>
  <cols>
    <col min="1" max="1" width="4.8515625" style="352" customWidth="1"/>
    <col min="2" max="2" width="53.28125" style="352" customWidth="1"/>
    <col min="3" max="3" width="11.00390625" style="352" hidden="1" customWidth="1"/>
    <col min="4" max="7" width="11.57421875" style="352" hidden="1" customWidth="1"/>
    <col min="8" max="11" width="11.57421875" style="352" customWidth="1"/>
    <col min="12" max="13" width="11.00390625" style="352" customWidth="1"/>
    <col min="14" max="14" width="10.57421875" style="352" customWidth="1"/>
    <col min="15" max="18" width="10.28125" style="352" customWidth="1"/>
    <col min="19" max="23" width="11.00390625" style="352" customWidth="1"/>
    <col min="24" max="27" width="14.7109375" style="352" customWidth="1"/>
    <col min="28" max="28" width="14.28125" style="352" customWidth="1"/>
    <col min="29" max="32" width="11.421875" style="352" customWidth="1"/>
    <col min="33" max="33" width="23.140625" style="352" customWidth="1"/>
    <col min="34" max="16384" width="11.421875" style="352" customWidth="1"/>
  </cols>
  <sheetData>
    <row r="5" spans="1:28" ht="20.25">
      <c r="A5" s="1320"/>
      <c r="B5" s="1320"/>
      <c r="C5" s="1320"/>
      <c r="D5" s="1320"/>
      <c r="E5" s="1320"/>
      <c r="F5" s="1320"/>
      <c r="G5" s="1320"/>
      <c r="H5" s="1320"/>
      <c r="I5" s="1320"/>
      <c r="J5" s="1320"/>
      <c r="K5" s="1320"/>
      <c r="L5" s="1320"/>
      <c r="M5" s="1320"/>
      <c r="N5" s="1320"/>
      <c r="O5" s="1320"/>
      <c r="P5" s="1320"/>
      <c r="Q5" s="1320"/>
      <c r="R5" s="1320"/>
      <c r="S5" s="1320"/>
      <c r="T5" s="1320"/>
      <c r="U5" s="1320"/>
      <c r="V5" s="1320"/>
      <c r="W5" s="1320"/>
      <c r="X5" s="1320"/>
      <c r="Y5" s="1320"/>
      <c r="Z5" s="1320"/>
      <c r="AA5" s="1320"/>
      <c r="AB5" s="1320"/>
    </row>
    <row r="7" spans="1:28" ht="18">
      <c r="A7" s="1321" t="s">
        <v>318</v>
      </c>
      <c r="B7" s="1321"/>
      <c r="C7" s="1321"/>
      <c r="D7" s="1321"/>
      <c r="E7" s="1321"/>
      <c r="F7" s="1321"/>
      <c r="G7" s="1321"/>
      <c r="H7" s="1321"/>
      <c r="I7" s="1321"/>
      <c r="J7" s="1321"/>
      <c r="K7" s="1321"/>
      <c r="L7" s="1321"/>
      <c r="M7" s="1321"/>
      <c r="N7" s="1321"/>
      <c r="O7" s="1321"/>
      <c r="P7" s="1321"/>
      <c r="Q7" s="1321"/>
      <c r="R7" s="1321"/>
      <c r="S7" s="1321"/>
      <c r="T7" s="1321"/>
      <c r="U7" s="1321"/>
      <c r="V7" s="1321"/>
      <c r="W7" s="1321"/>
      <c r="X7" s="1321"/>
      <c r="Y7" s="1321"/>
      <c r="Z7" s="1321"/>
      <c r="AA7" s="1321"/>
      <c r="AB7" s="1321"/>
    </row>
    <row r="8" ht="13.5" thickBot="1"/>
    <row r="9" spans="1:36" s="354" customFormat="1" ht="16.5" thickBot="1">
      <c r="A9" s="1067" t="s">
        <v>120</v>
      </c>
      <c r="B9" s="1068" t="s">
        <v>121</v>
      </c>
      <c r="C9" s="1069">
        <v>1990</v>
      </c>
      <c r="D9" s="1070">
        <v>1991</v>
      </c>
      <c r="E9" s="1070">
        <v>1992</v>
      </c>
      <c r="F9" s="1070">
        <v>1993</v>
      </c>
      <c r="G9" s="1070">
        <v>1994</v>
      </c>
      <c r="H9" s="1070">
        <v>1995</v>
      </c>
      <c r="I9" s="1070">
        <v>1996</v>
      </c>
      <c r="J9" s="1070">
        <v>1997</v>
      </c>
      <c r="K9" s="1070">
        <v>1998</v>
      </c>
      <c r="L9" s="1070">
        <v>1999</v>
      </c>
      <c r="M9" s="1069">
        <v>2000</v>
      </c>
      <c r="N9" s="1069">
        <v>2001</v>
      </c>
      <c r="O9" s="1069">
        <v>2002</v>
      </c>
      <c r="P9" s="1069">
        <v>2003</v>
      </c>
      <c r="Q9" s="1069">
        <v>2004</v>
      </c>
      <c r="R9" s="1069">
        <v>2005</v>
      </c>
      <c r="S9" s="1069">
        <v>2006</v>
      </c>
      <c r="T9" s="1069">
        <v>2007</v>
      </c>
      <c r="U9" s="1069">
        <v>2008</v>
      </c>
      <c r="V9" s="1071">
        <v>2009</v>
      </c>
      <c r="W9" s="1070">
        <v>2010</v>
      </c>
      <c r="X9" s="1070">
        <v>2011</v>
      </c>
      <c r="Y9" s="1070">
        <v>2012</v>
      </c>
      <c r="Z9" s="1070">
        <v>2013</v>
      </c>
      <c r="AA9" s="1070">
        <v>2014</v>
      </c>
      <c r="AB9" s="1072" t="s">
        <v>0</v>
      </c>
      <c r="AC9" s="353"/>
      <c r="AD9" s="353"/>
      <c r="AE9" s="353"/>
      <c r="AF9" s="353"/>
      <c r="AG9" s="353"/>
      <c r="AH9" s="353"/>
      <c r="AI9" s="353"/>
      <c r="AJ9" s="353"/>
    </row>
    <row r="10" spans="1:36" s="337" customFormat="1" ht="14.25">
      <c r="A10" s="355">
        <v>1</v>
      </c>
      <c r="B10" s="356" t="s">
        <v>122</v>
      </c>
      <c r="C10" s="357"/>
      <c r="D10" s="357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>
        <v>189</v>
      </c>
      <c r="X10" s="359">
        <v>96</v>
      </c>
      <c r="Y10" s="359"/>
      <c r="Z10" s="359"/>
      <c r="AA10" s="359"/>
      <c r="AB10" s="360">
        <f aca="true" t="shared" si="0" ref="AB10:AB29">SUM(C10:AA10)</f>
        <v>285</v>
      </c>
      <c r="AC10" s="361"/>
      <c r="AD10" s="362"/>
      <c r="AE10" s="362"/>
      <c r="AF10" s="362"/>
      <c r="AG10" s="362"/>
      <c r="AH10" s="362"/>
      <c r="AI10" s="362"/>
      <c r="AJ10" s="362"/>
    </row>
    <row r="11" spans="1:36" s="337" customFormat="1" ht="14.25">
      <c r="A11" s="363">
        <f>+A10+1</f>
        <v>2</v>
      </c>
      <c r="B11" s="570" t="s">
        <v>123</v>
      </c>
      <c r="C11" s="365"/>
      <c r="D11" s="365"/>
      <c r="E11" s="366"/>
      <c r="F11" s="366"/>
      <c r="G11" s="366"/>
      <c r="H11" s="366"/>
      <c r="I11" s="366"/>
      <c r="J11" s="366"/>
      <c r="K11" s="366"/>
      <c r="L11" s="366"/>
      <c r="M11" s="366"/>
      <c r="N11" s="367"/>
      <c r="O11" s="367"/>
      <c r="P11" s="367"/>
      <c r="Q11" s="367"/>
      <c r="R11" s="367"/>
      <c r="S11" s="367"/>
      <c r="T11" s="367">
        <v>364</v>
      </c>
      <c r="U11" s="367">
        <v>10952</v>
      </c>
      <c r="V11" s="367">
        <v>13012</v>
      </c>
      <c r="W11" s="367">
        <v>5393</v>
      </c>
      <c r="X11" s="367">
        <v>1075</v>
      </c>
      <c r="Y11" s="367">
        <v>166</v>
      </c>
      <c r="Z11" s="367"/>
      <c r="AA11" s="368"/>
      <c r="AB11" s="369">
        <f t="shared" si="0"/>
        <v>30962</v>
      </c>
      <c r="AC11" s="361"/>
      <c r="AD11" s="362"/>
      <c r="AE11" s="362"/>
      <c r="AF11" s="362"/>
      <c r="AG11" s="362"/>
      <c r="AH11" s="362"/>
      <c r="AI11" s="362"/>
      <c r="AJ11" s="362"/>
    </row>
    <row r="12" spans="1:36" s="337" customFormat="1" ht="14.25">
      <c r="A12" s="363">
        <f aca="true" t="shared" si="1" ref="A12:A17">+A11+1</f>
        <v>3</v>
      </c>
      <c r="B12" s="570" t="s">
        <v>211</v>
      </c>
      <c r="C12" s="365"/>
      <c r="D12" s="365"/>
      <c r="E12" s="366"/>
      <c r="F12" s="366"/>
      <c r="G12" s="366"/>
      <c r="H12" s="366"/>
      <c r="I12" s="366"/>
      <c r="J12" s="366"/>
      <c r="K12" s="366"/>
      <c r="L12" s="366"/>
      <c r="M12" s="366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>
        <v>2395</v>
      </c>
      <c r="Z12" s="367">
        <v>933</v>
      </c>
      <c r="AA12" s="368"/>
      <c r="AB12" s="369">
        <f t="shared" si="0"/>
        <v>3328</v>
      </c>
      <c r="AC12" s="361"/>
      <c r="AD12" s="362"/>
      <c r="AE12" s="362"/>
      <c r="AF12" s="362"/>
      <c r="AG12" s="362"/>
      <c r="AH12" s="362"/>
      <c r="AI12" s="362"/>
      <c r="AJ12" s="362"/>
    </row>
    <row r="13" spans="1:36" s="337" customFormat="1" ht="14.25">
      <c r="A13" s="363">
        <f t="shared" si="1"/>
        <v>4</v>
      </c>
      <c r="B13" s="570" t="s">
        <v>212</v>
      </c>
      <c r="C13" s="365"/>
      <c r="D13" s="365"/>
      <c r="E13" s="366"/>
      <c r="F13" s="366"/>
      <c r="G13" s="366"/>
      <c r="H13" s="366"/>
      <c r="I13" s="366"/>
      <c r="J13" s="366"/>
      <c r="K13" s="366"/>
      <c r="L13" s="366"/>
      <c r="M13" s="366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>
        <v>200</v>
      </c>
      <c r="Z13" s="367"/>
      <c r="AA13" s="368"/>
      <c r="AB13" s="369">
        <f t="shared" si="0"/>
        <v>200</v>
      </c>
      <c r="AC13" s="361"/>
      <c r="AD13" s="362"/>
      <c r="AE13" s="362"/>
      <c r="AF13" s="362"/>
      <c r="AG13" s="362"/>
      <c r="AH13" s="362"/>
      <c r="AI13" s="362"/>
      <c r="AJ13" s="362"/>
    </row>
    <row r="14" spans="1:36" s="337" customFormat="1" ht="14.25">
      <c r="A14" s="363">
        <f t="shared" si="1"/>
        <v>5</v>
      </c>
      <c r="B14" s="570" t="s">
        <v>124</v>
      </c>
      <c r="C14" s="572"/>
      <c r="D14" s="370"/>
      <c r="E14" s="367"/>
      <c r="F14" s="367"/>
      <c r="G14" s="367"/>
      <c r="H14" s="367"/>
      <c r="I14" s="367"/>
      <c r="J14" s="367">
        <v>2400</v>
      </c>
      <c r="K14" s="367">
        <v>3900</v>
      </c>
      <c r="L14" s="367">
        <v>3300</v>
      </c>
      <c r="M14" s="367">
        <v>37300</v>
      </c>
      <c r="N14" s="367">
        <v>597</v>
      </c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573" t="s">
        <v>77</v>
      </c>
      <c r="Z14" s="573" t="s">
        <v>77</v>
      </c>
      <c r="AA14" s="721"/>
      <c r="AB14" s="369">
        <f t="shared" si="0"/>
        <v>47497</v>
      </c>
      <c r="AC14" s="371"/>
      <c r="AD14" s="372"/>
      <c r="AE14" s="372"/>
      <c r="AF14" s="372"/>
      <c r="AG14" s="371"/>
      <c r="AH14" s="372"/>
      <c r="AI14" s="372"/>
      <c r="AJ14" s="372"/>
    </row>
    <row r="15" spans="1:36" s="337" customFormat="1" ht="13.5" customHeight="1">
      <c r="A15" s="363">
        <f t="shared" si="1"/>
        <v>6</v>
      </c>
      <c r="B15" s="570" t="s">
        <v>125</v>
      </c>
      <c r="C15" s="370"/>
      <c r="D15" s="370"/>
      <c r="E15" s="367"/>
      <c r="F15" s="367"/>
      <c r="G15" s="367"/>
      <c r="H15" s="367"/>
      <c r="I15" s="367"/>
      <c r="J15" s="367">
        <v>24000</v>
      </c>
      <c r="K15" s="364"/>
      <c r="L15" s="367">
        <v>6147</v>
      </c>
      <c r="M15" s="367">
        <v>25</v>
      </c>
      <c r="N15" s="367">
        <v>24</v>
      </c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>
        <v>9</v>
      </c>
      <c r="Z15" s="367"/>
      <c r="AA15" s="368"/>
      <c r="AB15" s="369">
        <f t="shared" si="0"/>
        <v>30205</v>
      </c>
      <c r="AC15" s="371"/>
      <c r="AD15" s="372"/>
      <c r="AE15" s="372"/>
      <c r="AF15" s="372"/>
      <c r="AG15" s="371"/>
      <c r="AH15" s="372"/>
      <c r="AI15" s="372"/>
      <c r="AJ15" s="372"/>
    </row>
    <row r="16" spans="1:36" s="337" customFormat="1" ht="14.25">
      <c r="A16" s="363">
        <f t="shared" si="1"/>
        <v>7</v>
      </c>
      <c r="B16" s="570" t="s">
        <v>213</v>
      </c>
      <c r="C16" s="370"/>
      <c r="D16" s="365"/>
      <c r="E16" s="366"/>
      <c r="F16" s="366"/>
      <c r="G16" s="366"/>
      <c r="H16" s="366"/>
      <c r="I16" s="366"/>
      <c r="J16" s="366"/>
      <c r="K16" s="366"/>
      <c r="L16" s="366"/>
      <c r="M16" s="366"/>
      <c r="N16" s="367"/>
      <c r="O16" s="367"/>
      <c r="P16" s="367"/>
      <c r="Q16" s="367"/>
      <c r="R16" s="367"/>
      <c r="S16" s="367"/>
      <c r="T16" s="367"/>
      <c r="U16" s="367"/>
      <c r="V16" s="367">
        <v>876</v>
      </c>
      <c r="W16" s="367">
        <v>285</v>
      </c>
      <c r="X16" s="367">
        <v>127.7</v>
      </c>
      <c r="Y16" s="367">
        <v>477</v>
      </c>
      <c r="Z16" s="367">
        <v>15</v>
      </c>
      <c r="AA16" s="368"/>
      <c r="AB16" s="369">
        <f t="shared" si="0"/>
        <v>1780.7</v>
      </c>
      <c r="AC16" s="371"/>
      <c r="AD16" s="372"/>
      <c r="AE16" s="372"/>
      <c r="AF16" s="372"/>
      <c r="AG16" s="371"/>
      <c r="AH16" s="373"/>
      <c r="AI16" s="372"/>
      <c r="AJ16" s="372"/>
    </row>
    <row r="17" spans="1:36" s="337" customFormat="1" ht="14.25">
      <c r="A17" s="363">
        <f t="shared" si="1"/>
        <v>8</v>
      </c>
      <c r="B17" s="570" t="s">
        <v>214</v>
      </c>
      <c r="C17" s="370"/>
      <c r="D17" s="365"/>
      <c r="E17" s="366"/>
      <c r="F17" s="366"/>
      <c r="G17" s="366"/>
      <c r="H17" s="366"/>
      <c r="I17" s="366"/>
      <c r="J17" s="366"/>
      <c r="K17" s="366"/>
      <c r="L17" s="366"/>
      <c r="M17" s="366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8"/>
      <c r="AB17" s="369">
        <f t="shared" si="0"/>
        <v>0</v>
      </c>
      <c r="AC17" s="371"/>
      <c r="AD17" s="372"/>
      <c r="AE17" s="372"/>
      <c r="AF17" s="372"/>
      <c r="AG17" s="371"/>
      <c r="AH17" s="373"/>
      <c r="AI17" s="372"/>
      <c r="AJ17" s="372"/>
    </row>
    <row r="18" spans="1:36" s="337" customFormat="1" ht="14.25">
      <c r="A18" s="363">
        <f>+A17+1</f>
        <v>9</v>
      </c>
      <c r="B18" s="570" t="s">
        <v>242</v>
      </c>
      <c r="C18" s="370"/>
      <c r="D18" s="365"/>
      <c r="E18" s="366"/>
      <c r="F18" s="366"/>
      <c r="G18" s="366"/>
      <c r="H18" s="366"/>
      <c r="I18" s="366"/>
      <c r="J18" s="366"/>
      <c r="K18" s="366"/>
      <c r="L18" s="366"/>
      <c r="M18" s="366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>
        <v>419108</v>
      </c>
      <c r="AA18" s="368">
        <v>246828.65658</v>
      </c>
      <c r="AB18" s="369">
        <f t="shared" si="0"/>
        <v>665936.65658</v>
      </c>
      <c r="AC18" s="371"/>
      <c r="AD18" s="372"/>
      <c r="AE18" s="372"/>
      <c r="AF18" s="372"/>
      <c r="AG18" s="371"/>
      <c r="AH18" s="373"/>
      <c r="AI18" s="372"/>
      <c r="AJ18" s="372"/>
    </row>
    <row r="19" spans="1:36" s="337" customFormat="1" ht="14.25">
      <c r="A19" s="363">
        <f aca="true" t="shared" si="2" ref="A19:A42">+A18+1</f>
        <v>10</v>
      </c>
      <c r="B19" s="570" t="s">
        <v>241</v>
      </c>
      <c r="C19" s="365"/>
      <c r="D19" s="370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>
        <v>668</v>
      </c>
      <c r="W19" s="367">
        <v>999</v>
      </c>
      <c r="X19" s="367">
        <v>1455.5</v>
      </c>
      <c r="Y19" s="367">
        <v>673.3</v>
      </c>
      <c r="Z19" s="367">
        <v>1809.8</v>
      </c>
      <c r="AA19" s="368">
        <v>4717.46156485558</v>
      </c>
      <c r="AB19" s="369">
        <f t="shared" si="0"/>
        <v>10323.06156485558</v>
      </c>
      <c r="AC19" s="371"/>
      <c r="AD19" s="372"/>
      <c r="AE19" s="372"/>
      <c r="AF19" s="372"/>
      <c r="AG19" s="371"/>
      <c r="AH19" s="373"/>
      <c r="AI19" s="372"/>
      <c r="AJ19" s="372"/>
    </row>
    <row r="20" spans="1:36" s="337" customFormat="1" ht="14.25">
      <c r="A20" s="363">
        <f t="shared" si="2"/>
        <v>11</v>
      </c>
      <c r="B20" s="570" t="s">
        <v>126</v>
      </c>
      <c r="C20" s="370"/>
      <c r="D20" s="370"/>
      <c r="E20" s="367"/>
      <c r="F20" s="367"/>
      <c r="G20" s="367"/>
      <c r="H20" s="367"/>
      <c r="I20" s="367"/>
      <c r="J20" s="367"/>
      <c r="K20" s="364"/>
      <c r="L20" s="367"/>
      <c r="M20" s="367"/>
      <c r="N20" s="367"/>
      <c r="O20" s="367"/>
      <c r="P20" s="367"/>
      <c r="Q20" s="367"/>
      <c r="R20" s="367"/>
      <c r="S20" s="367">
        <v>21912</v>
      </c>
      <c r="T20" s="367">
        <v>87705</v>
      </c>
      <c r="U20" s="367">
        <v>114259</v>
      </c>
      <c r="V20" s="367">
        <v>52970</v>
      </c>
      <c r="W20" s="367">
        <v>5176</v>
      </c>
      <c r="X20" s="367">
        <v>1669</v>
      </c>
      <c r="Y20" s="367">
        <v>4709</v>
      </c>
      <c r="Z20" s="367"/>
      <c r="AA20" s="368">
        <v>8230.5</v>
      </c>
      <c r="AB20" s="369">
        <f t="shared" si="0"/>
        <v>296630.5</v>
      </c>
      <c r="AC20" s="371"/>
      <c r="AD20" s="372"/>
      <c r="AE20" s="372"/>
      <c r="AF20" s="372"/>
      <c r="AG20" s="371"/>
      <c r="AH20" s="373"/>
      <c r="AI20" s="372"/>
      <c r="AJ20" s="372"/>
    </row>
    <row r="21" spans="1:36" s="337" customFormat="1" ht="14.25">
      <c r="A21" s="363">
        <f t="shared" si="2"/>
        <v>12</v>
      </c>
      <c r="B21" s="570" t="s">
        <v>243</v>
      </c>
      <c r="C21" s="370"/>
      <c r="D21" s="370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>
        <v>800</v>
      </c>
      <c r="W21" s="367">
        <v>950</v>
      </c>
      <c r="X21" s="367">
        <v>1500</v>
      </c>
      <c r="Y21" s="367">
        <v>200</v>
      </c>
      <c r="Z21" s="367">
        <v>350</v>
      </c>
      <c r="AA21" s="368">
        <v>400</v>
      </c>
      <c r="AB21" s="369">
        <f t="shared" si="0"/>
        <v>4200</v>
      </c>
      <c r="AC21" s="371"/>
      <c r="AD21" s="372"/>
      <c r="AE21" s="372"/>
      <c r="AF21" s="372"/>
      <c r="AG21" s="371"/>
      <c r="AH21" s="373"/>
      <c r="AI21" s="372"/>
      <c r="AJ21" s="372"/>
    </row>
    <row r="22" spans="1:36" s="337" customFormat="1" ht="14.25">
      <c r="A22" s="363">
        <f t="shared" si="2"/>
        <v>13</v>
      </c>
      <c r="B22" s="570" t="s">
        <v>127</v>
      </c>
      <c r="C22" s="370"/>
      <c r="D22" s="370"/>
      <c r="E22" s="367"/>
      <c r="F22" s="367"/>
      <c r="G22" s="367"/>
      <c r="H22" s="367"/>
      <c r="I22" s="367">
        <f>521</f>
        <v>521</v>
      </c>
      <c r="J22" s="367">
        <v>19214</v>
      </c>
      <c r="K22" s="367">
        <v>42870</v>
      </c>
      <c r="L22" s="367">
        <v>37036</v>
      </c>
      <c r="M22" s="367">
        <v>26544</v>
      </c>
      <c r="N22" s="367">
        <v>12531</v>
      </c>
      <c r="O22" s="367">
        <v>5340</v>
      </c>
      <c r="P22" s="367">
        <v>2585</v>
      </c>
      <c r="Q22" s="367">
        <v>3537</v>
      </c>
      <c r="R22" s="367">
        <v>2885</v>
      </c>
      <c r="S22" s="367">
        <v>3945</v>
      </c>
      <c r="T22" s="367">
        <v>10410</v>
      </c>
      <c r="U22" s="367">
        <v>50137</v>
      </c>
      <c r="V22" s="367">
        <v>59756</v>
      </c>
      <c r="W22" s="367">
        <v>14857</v>
      </c>
      <c r="X22" s="367">
        <v>2327</v>
      </c>
      <c r="Y22" s="367">
        <v>4851</v>
      </c>
      <c r="Z22" s="367">
        <v>5951</v>
      </c>
      <c r="AA22" s="368">
        <v>4268.649534</v>
      </c>
      <c r="AB22" s="369">
        <f t="shared" si="0"/>
        <v>309565.649534</v>
      </c>
      <c r="AC22" s="371"/>
      <c r="AD22" s="372"/>
      <c r="AE22" s="372"/>
      <c r="AF22" s="372"/>
      <c r="AG22" s="371"/>
      <c r="AH22" s="373"/>
      <c r="AI22" s="372"/>
      <c r="AJ22" s="372"/>
    </row>
    <row r="23" spans="1:36" s="337" customFormat="1" ht="14.25">
      <c r="A23" s="363">
        <f t="shared" si="2"/>
        <v>14</v>
      </c>
      <c r="B23" s="570" t="s">
        <v>215</v>
      </c>
      <c r="C23" s="370"/>
      <c r="D23" s="370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>
        <v>58</v>
      </c>
      <c r="Z23" s="367"/>
      <c r="AA23" s="368"/>
      <c r="AB23" s="369">
        <f t="shared" si="0"/>
        <v>58</v>
      </c>
      <c r="AC23" s="371"/>
      <c r="AD23" s="372"/>
      <c r="AE23" s="372"/>
      <c r="AF23" s="372"/>
      <c r="AG23" s="371"/>
      <c r="AH23" s="373"/>
      <c r="AI23" s="372"/>
      <c r="AJ23" s="372"/>
    </row>
    <row r="24" spans="1:36" s="337" customFormat="1" ht="14.25">
      <c r="A24" s="363">
        <f t="shared" si="2"/>
        <v>15</v>
      </c>
      <c r="B24" s="570" t="s">
        <v>128</v>
      </c>
      <c r="C24" s="370"/>
      <c r="D24" s="370"/>
      <c r="E24" s="367"/>
      <c r="F24" s="367"/>
      <c r="G24" s="367">
        <v>31478.89</v>
      </c>
      <c r="H24" s="367">
        <f>7634.63</f>
        <v>7634.63</v>
      </c>
      <c r="I24" s="367">
        <f>58480.46</f>
        <v>58480.46</v>
      </c>
      <c r="J24" s="367">
        <v>113616.85</v>
      </c>
      <c r="K24" s="367">
        <v>96149.62</v>
      </c>
      <c r="L24" s="367">
        <v>119312.06</v>
      </c>
      <c r="M24" s="367">
        <v>48150</v>
      </c>
      <c r="N24" s="367">
        <v>111</v>
      </c>
      <c r="O24" s="367">
        <v>4915</v>
      </c>
      <c r="P24" s="367">
        <v>5278</v>
      </c>
      <c r="Q24" s="367">
        <v>11866</v>
      </c>
      <c r="R24" s="367">
        <v>24818</v>
      </c>
      <c r="S24" s="367">
        <v>94821</v>
      </c>
      <c r="T24" s="367">
        <v>23375</v>
      </c>
      <c r="U24" s="367">
        <v>79556</v>
      </c>
      <c r="V24" s="367">
        <v>60499</v>
      </c>
      <c r="W24" s="367">
        <v>29495</v>
      </c>
      <c r="X24" s="367">
        <v>30762</v>
      </c>
      <c r="Y24" s="367">
        <v>61938</v>
      </c>
      <c r="Z24" s="367">
        <v>71594</v>
      </c>
      <c r="AA24" s="368">
        <v>46101.700000000004</v>
      </c>
      <c r="AB24" s="369">
        <f t="shared" si="0"/>
        <v>1019952.21</v>
      </c>
      <c r="AC24" s="371"/>
      <c r="AD24" s="371"/>
      <c r="AE24" s="371"/>
      <c r="AF24" s="371"/>
      <c r="AG24" s="371"/>
      <c r="AH24" s="373"/>
      <c r="AI24" s="372"/>
      <c r="AJ24" s="372"/>
    </row>
    <row r="25" spans="1:36" s="337" customFormat="1" ht="14.25">
      <c r="A25" s="363">
        <f t="shared" si="2"/>
        <v>16</v>
      </c>
      <c r="B25" s="570" t="s">
        <v>216</v>
      </c>
      <c r="C25" s="370"/>
      <c r="D25" s="370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>
        <v>25696</v>
      </c>
      <c r="Z25" s="367">
        <v>8895</v>
      </c>
      <c r="AA25" s="368">
        <v>57</v>
      </c>
      <c r="AB25" s="369">
        <f t="shared" si="0"/>
        <v>34648</v>
      </c>
      <c r="AC25" s="371"/>
      <c r="AD25" s="371"/>
      <c r="AE25" s="371"/>
      <c r="AF25" s="371"/>
      <c r="AG25" s="371"/>
      <c r="AH25" s="373"/>
      <c r="AI25" s="372"/>
      <c r="AJ25" s="372"/>
    </row>
    <row r="26" spans="1:36" s="337" customFormat="1" ht="14.25">
      <c r="A26" s="363">
        <f t="shared" si="2"/>
        <v>17</v>
      </c>
      <c r="B26" s="570" t="s">
        <v>217</v>
      </c>
      <c r="C26" s="370"/>
      <c r="D26" s="370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>
        <v>1349</v>
      </c>
      <c r="X26" s="367">
        <v>96442</v>
      </c>
      <c r="Y26" s="367">
        <v>750</v>
      </c>
      <c r="Z26" s="367"/>
      <c r="AA26" s="368"/>
      <c r="AB26" s="369">
        <f t="shared" si="0"/>
        <v>98541</v>
      </c>
      <c r="AC26" s="371"/>
      <c r="AD26" s="371"/>
      <c r="AE26" s="371"/>
      <c r="AF26" s="371"/>
      <c r="AG26" s="371"/>
      <c r="AH26" s="373"/>
      <c r="AI26" s="372"/>
      <c r="AJ26" s="372"/>
    </row>
    <row r="27" spans="1:36" s="337" customFormat="1" ht="14.25">
      <c r="A27" s="363">
        <f t="shared" si="2"/>
        <v>18</v>
      </c>
      <c r="B27" s="570" t="s">
        <v>129</v>
      </c>
      <c r="C27" s="370"/>
      <c r="D27" s="370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>
        <v>1873</v>
      </c>
      <c r="U27" s="367">
        <v>2389</v>
      </c>
      <c r="V27" s="367">
        <v>1062</v>
      </c>
      <c r="W27" s="367">
        <v>744</v>
      </c>
      <c r="X27" s="367">
        <v>13714</v>
      </c>
      <c r="Y27" s="367">
        <v>2451</v>
      </c>
      <c r="Z27" s="367"/>
      <c r="AA27" s="368"/>
      <c r="AB27" s="369">
        <f t="shared" si="0"/>
        <v>22233</v>
      </c>
      <c r="AC27" s="371"/>
      <c r="AD27" s="371"/>
      <c r="AE27" s="371"/>
      <c r="AF27" s="372"/>
      <c r="AG27" s="372"/>
      <c r="AH27" s="373"/>
      <c r="AI27" s="372"/>
      <c r="AJ27" s="372"/>
    </row>
    <row r="28" spans="1:36" s="337" customFormat="1" ht="14.25">
      <c r="A28" s="363">
        <f t="shared" si="2"/>
        <v>19</v>
      </c>
      <c r="B28" s="570" t="s">
        <v>130</v>
      </c>
      <c r="C28" s="370"/>
      <c r="D28" s="370"/>
      <c r="E28" s="367"/>
      <c r="F28" s="367"/>
      <c r="G28" s="367"/>
      <c r="H28" s="367"/>
      <c r="I28" s="367"/>
      <c r="J28" s="364"/>
      <c r="K28" s="364">
        <v>160</v>
      </c>
      <c r="L28" s="364">
        <v>352</v>
      </c>
      <c r="M28" s="367">
        <v>1255</v>
      </c>
      <c r="N28" s="367">
        <v>50.1</v>
      </c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8"/>
      <c r="AB28" s="369">
        <f t="shared" si="0"/>
        <v>1817.1</v>
      </c>
      <c r="AC28" s="371"/>
      <c r="AD28" s="371"/>
      <c r="AE28" s="371"/>
      <c r="AF28" s="372"/>
      <c r="AG28" s="372"/>
      <c r="AH28" s="373"/>
      <c r="AI28" s="372"/>
      <c r="AJ28" s="372"/>
    </row>
    <row r="29" spans="1:36" s="337" customFormat="1" ht="14.25">
      <c r="A29" s="363">
        <f t="shared" si="2"/>
        <v>20</v>
      </c>
      <c r="B29" s="570" t="s">
        <v>303</v>
      </c>
      <c r="C29" s="370"/>
      <c r="D29" s="370"/>
      <c r="E29" s="367"/>
      <c r="F29" s="367"/>
      <c r="G29" s="367"/>
      <c r="H29" s="367"/>
      <c r="I29" s="367">
        <v>50</v>
      </c>
      <c r="J29" s="364">
        <v>196</v>
      </c>
      <c r="K29" s="364">
        <v>281</v>
      </c>
      <c r="L29" s="367">
        <v>104</v>
      </c>
      <c r="M29" s="367">
        <v>388</v>
      </c>
      <c r="N29" s="367">
        <v>0</v>
      </c>
      <c r="O29" s="367"/>
      <c r="P29" s="367"/>
      <c r="Q29" s="367"/>
      <c r="R29" s="367"/>
      <c r="S29" s="367">
        <v>597</v>
      </c>
      <c r="T29" s="367">
        <v>71</v>
      </c>
      <c r="U29" s="367">
        <v>2690</v>
      </c>
      <c r="V29" s="367">
        <v>851</v>
      </c>
      <c r="W29" s="573" t="s">
        <v>77</v>
      </c>
      <c r="X29" s="573" t="s">
        <v>77</v>
      </c>
      <c r="Y29" s="573" t="s">
        <v>77</v>
      </c>
      <c r="Z29" s="573" t="s">
        <v>77</v>
      </c>
      <c r="AA29" s="721"/>
      <c r="AB29" s="369">
        <f t="shared" si="0"/>
        <v>5228</v>
      </c>
      <c r="AC29" s="371"/>
      <c r="AD29" s="371"/>
      <c r="AE29" s="371"/>
      <c r="AF29" s="372"/>
      <c r="AG29" s="372"/>
      <c r="AH29" s="373"/>
      <c r="AI29" s="372"/>
      <c r="AJ29" s="372"/>
    </row>
    <row r="30" spans="1:36" s="337" customFormat="1" ht="14.25">
      <c r="A30" s="363">
        <f t="shared" si="2"/>
        <v>21</v>
      </c>
      <c r="B30" s="570" t="s">
        <v>293</v>
      </c>
      <c r="C30" s="370"/>
      <c r="D30" s="370"/>
      <c r="E30" s="367"/>
      <c r="F30" s="367"/>
      <c r="G30" s="367"/>
      <c r="H30" s="367"/>
      <c r="I30" s="367"/>
      <c r="J30" s="364"/>
      <c r="K30" s="364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573"/>
      <c r="X30" s="573"/>
      <c r="Y30" s="573"/>
      <c r="Z30" s="573"/>
      <c r="AA30" s="721">
        <v>2500</v>
      </c>
      <c r="AB30" s="369"/>
      <c r="AC30" s="371"/>
      <c r="AD30" s="371"/>
      <c r="AE30" s="371"/>
      <c r="AF30" s="372"/>
      <c r="AG30" s="372"/>
      <c r="AH30" s="373"/>
      <c r="AI30" s="372"/>
      <c r="AJ30" s="372"/>
    </row>
    <row r="31" spans="1:36" s="337" customFormat="1" ht="14.25">
      <c r="A31" s="363">
        <f t="shared" si="2"/>
        <v>22</v>
      </c>
      <c r="B31" s="570" t="s">
        <v>131</v>
      </c>
      <c r="C31" s="370"/>
      <c r="D31" s="370"/>
      <c r="E31" s="367"/>
      <c r="F31" s="367"/>
      <c r="G31" s="367"/>
      <c r="H31" s="367"/>
      <c r="I31" s="367"/>
      <c r="J31" s="364"/>
      <c r="K31" s="364"/>
      <c r="L31" s="367"/>
      <c r="M31" s="367"/>
      <c r="N31" s="367"/>
      <c r="O31" s="367"/>
      <c r="P31" s="367"/>
      <c r="Q31" s="367"/>
      <c r="R31" s="367"/>
      <c r="S31" s="367">
        <v>630</v>
      </c>
      <c r="T31" s="367"/>
      <c r="U31" s="367">
        <v>3331</v>
      </c>
      <c r="V31" s="367">
        <v>1593</v>
      </c>
      <c r="W31" s="367">
        <v>24698</v>
      </c>
      <c r="X31" s="367">
        <v>150365</v>
      </c>
      <c r="Y31" s="367">
        <v>127994</v>
      </c>
      <c r="Z31" s="367">
        <v>159724</v>
      </c>
      <c r="AA31" s="368">
        <v>52511</v>
      </c>
      <c r="AB31" s="369">
        <f>SUM(C31:AA31)</f>
        <v>520846</v>
      </c>
      <c r="AC31" s="371"/>
      <c r="AD31" s="371"/>
      <c r="AE31" s="371"/>
      <c r="AF31" s="372"/>
      <c r="AG31" s="372"/>
      <c r="AH31" s="373"/>
      <c r="AI31" s="372"/>
      <c r="AJ31" s="372"/>
    </row>
    <row r="32" spans="1:36" s="337" customFormat="1" ht="14.25">
      <c r="A32" s="363">
        <f t="shared" si="2"/>
        <v>23</v>
      </c>
      <c r="B32" s="570" t="s">
        <v>132</v>
      </c>
      <c r="C32" s="370"/>
      <c r="D32" s="370"/>
      <c r="E32" s="367"/>
      <c r="F32" s="367"/>
      <c r="G32" s="367"/>
      <c r="H32" s="367"/>
      <c r="I32" s="367"/>
      <c r="J32" s="367"/>
      <c r="K32" s="367"/>
      <c r="L32" s="367"/>
      <c r="M32" s="367"/>
      <c r="N32" s="367">
        <v>2965</v>
      </c>
      <c r="O32" s="367">
        <v>1275</v>
      </c>
      <c r="P32" s="367"/>
      <c r="Q32" s="367">
        <v>180</v>
      </c>
      <c r="R32" s="367">
        <v>220</v>
      </c>
      <c r="S32" s="367">
        <v>260</v>
      </c>
      <c r="T32" s="367"/>
      <c r="U32" s="367"/>
      <c r="V32" s="367"/>
      <c r="W32" s="367"/>
      <c r="X32" s="367"/>
      <c r="Y32" s="367"/>
      <c r="Z32" s="367">
        <v>62750</v>
      </c>
      <c r="AA32" s="368"/>
      <c r="AB32" s="369">
        <f>SUM(C32:AA32)</f>
        <v>67650</v>
      </c>
      <c r="AC32" s="371"/>
      <c r="AD32" s="371"/>
      <c r="AE32" s="371"/>
      <c r="AF32" s="372"/>
      <c r="AG32" s="372"/>
      <c r="AH32" s="373"/>
      <c r="AI32" s="372"/>
      <c r="AJ32" s="372"/>
    </row>
    <row r="33" spans="1:36" s="337" customFormat="1" ht="14.25">
      <c r="A33" s="363">
        <f t="shared" si="2"/>
        <v>24</v>
      </c>
      <c r="B33" s="570" t="s">
        <v>294</v>
      </c>
      <c r="C33" s="370"/>
      <c r="D33" s="370"/>
      <c r="E33" s="367"/>
      <c r="F33" s="367"/>
      <c r="G33" s="367"/>
      <c r="H33" s="367"/>
      <c r="I33" s="367"/>
      <c r="J33" s="364"/>
      <c r="K33" s="364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8">
        <v>16675</v>
      </c>
      <c r="AB33" s="369"/>
      <c r="AC33" s="371"/>
      <c r="AD33" s="371"/>
      <c r="AE33" s="371"/>
      <c r="AF33" s="372"/>
      <c r="AG33" s="372"/>
      <c r="AH33" s="373"/>
      <c r="AI33" s="372"/>
      <c r="AJ33" s="372"/>
    </row>
    <row r="34" spans="1:36" s="337" customFormat="1" ht="14.25">
      <c r="A34" s="363">
        <f t="shared" si="2"/>
        <v>25</v>
      </c>
      <c r="B34" s="570" t="s">
        <v>133</v>
      </c>
      <c r="C34" s="370"/>
      <c r="D34" s="370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>
        <v>7149</v>
      </c>
      <c r="U34" s="367">
        <v>4291</v>
      </c>
      <c r="V34" s="367"/>
      <c r="W34" s="367"/>
      <c r="X34" s="367"/>
      <c r="Y34" s="367"/>
      <c r="Z34" s="367"/>
      <c r="AA34" s="368"/>
      <c r="AB34" s="369">
        <f aca="true" t="shared" si="3" ref="AB34:AB73">SUM(C34:AA34)</f>
        <v>11440</v>
      </c>
      <c r="AC34" s="371"/>
      <c r="AD34" s="371"/>
      <c r="AE34" s="371"/>
      <c r="AF34" s="372"/>
      <c r="AG34" s="372"/>
      <c r="AH34" s="373"/>
      <c r="AI34" s="372"/>
      <c r="AJ34" s="372"/>
    </row>
    <row r="35" spans="1:36" s="337" customFormat="1" ht="14.25">
      <c r="A35" s="363">
        <f t="shared" si="2"/>
        <v>26</v>
      </c>
      <c r="B35" s="570" t="s">
        <v>295</v>
      </c>
      <c r="C35" s="370"/>
      <c r="D35" s="370"/>
      <c r="E35" s="367"/>
      <c r="F35" s="367"/>
      <c r="G35" s="367"/>
      <c r="H35" s="367"/>
      <c r="I35" s="367"/>
      <c r="J35" s="364"/>
      <c r="K35" s="364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>
        <v>472406</v>
      </c>
      <c r="Z35" s="367">
        <v>341172</v>
      </c>
      <c r="AA35" s="368">
        <v>317876.30182000017</v>
      </c>
      <c r="AB35" s="369">
        <f>SUM(H35:AA35)</f>
        <v>1131454.3018200002</v>
      </c>
      <c r="AC35" s="371"/>
      <c r="AD35" s="371"/>
      <c r="AE35" s="371"/>
      <c r="AF35" s="372"/>
      <c r="AG35" s="372"/>
      <c r="AH35" s="373"/>
      <c r="AI35" s="372"/>
      <c r="AJ35" s="372"/>
    </row>
    <row r="36" spans="1:36" s="337" customFormat="1" ht="14.25">
      <c r="A36" s="363">
        <f t="shared" si="2"/>
        <v>27</v>
      </c>
      <c r="B36" s="570" t="s">
        <v>134</v>
      </c>
      <c r="C36" s="370"/>
      <c r="D36" s="370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>
        <v>1000</v>
      </c>
      <c r="U36" s="367">
        <v>400</v>
      </c>
      <c r="V36" s="367">
        <v>86</v>
      </c>
      <c r="W36" s="367"/>
      <c r="X36" s="367">
        <v>492.7</v>
      </c>
      <c r="Y36" s="367"/>
      <c r="Z36" s="367"/>
      <c r="AA36" s="368"/>
      <c r="AB36" s="369">
        <f aca="true" t="shared" si="4" ref="AB36:AB73">SUM(H36:AA36)</f>
        <v>1978.7</v>
      </c>
      <c r="AC36" s="371"/>
      <c r="AD36" s="371"/>
      <c r="AE36" s="371"/>
      <c r="AF36" s="371"/>
      <c r="AG36" s="372"/>
      <c r="AH36" s="373"/>
      <c r="AI36" s="372"/>
      <c r="AJ36" s="372"/>
    </row>
    <row r="37" spans="1:36" s="337" customFormat="1" ht="14.25">
      <c r="A37" s="363">
        <f t="shared" si="2"/>
        <v>28</v>
      </c>
      <c r="B37" s="570" t="s">
        <v>135</v>
      </c>
      <c r="C37" s="370"/>
      <c r="D37" s="370"/>
      <c r="E37" s="367"/>
      <c r="F37" s="367"/>
      <c r="G37" s="367"/>
      <c r="H37" s="367"/>
      <c r="I37" s="367">
        <v>38550</v>
      </c>
      <c r="J37" s="367">
        <v>47228</v>
      </c>
      <c r="K37" s="367">
        <v>34264</v>
      </c>
      <c r="L37" s="367">
        <v>6884</v>
      </c>
      <c r="M37" s="367">
        <v>150</v>
      </c>
      <c r="N37" s="367">
        <v>238</v>
      </c>
      <c r="O37" s="367">
        <v>184</v>
      </c>
      <c r="P37" s="367">
        <v>152</v>
      </c>
      <c r="Q37" s="367">
        <v>30775</v>
      </c>
      <c r="R37" s="367">
        <v>90228</v>
      </c>
      <c r="S37" s="367">
        <v>14062</v>
      </c>
      <c r="T37" s="367"/>
      <c r="U37" s="367"/>
      <c r="V37" s="367"/>
      <c r="W37" s="367"/>
      <c r="X37" s="367"/>
      <c r="Y37" s="367"/>
      <c r="Z37" s="367"/>
      <c r="AA37" s="368"/>
      <c r="AB37" s="369">
        <f t="shared" si="4"/>
        <v>262715</v>
      </c>
      <c r="AC37" s="371"/>
      <c r="AD37" s="371"/>
      <c r="AE37" s="371"/>
      <c r="AF37" s="371"/>
      <c r="AG37" s="371"/>
      <c r="AH37" s="372"/>
      <c r="AI37" s="372"/>
      <c r="AJ37" s="372"/>
    </row>
    <row r="38" spans="1:36" s="337" customFormat="1" ht="14.25">
      <c r="A38" s="363">
        <f t="shared" si="2"/>
        <v>29</v>
      </c>
      <c r="B38" s="570" t="s">
        <v>136</v>
      </c>
      <c r="C38" s="370"/>
      <c r="D38" s="370"/>
      <c r="E38" s="367"/>
      <c r="F38" s="367"/>
      <c r="G38" s="367"/>
      <c r="H38" s="367"/>
      <c r="I38" s="367">
        <f>6</f>
        <v>6</v>
      </c>
      <c r="J38" s="364">
        <v>469</v>
      </c>
      <c r="K38" s="367">
        <v>34617</v>
      </c>
      <c r="L38" s="367">
        <v>2336</v>
      </c>
      <c r="M38" s="367">
        <v>7763</v>
      </c>
      <c r="N38" s="367">
        <v>1342</v>
      </c>
      <c r="O38" s="367">
        <v>916</v>
      </c>
      <c r="P38" s="367">
        <v>640</v>
      </c>
      <c r="Q38" s="367">
        <v>4602</v>
      </c>
      <c r="R38" s="367">
        <v>6105</v>
      </c>
      <c r="S38" s="367">
        <v>8225</v>
      </c>
      <c r="T38" s="367">
        <v>6774</v>
      </c>
      <c r="U38" s="367">
        <v>1474</v>
      </c>
      <c r="V38" s="367">
        <v>5769</v>
      </c>
      <c r="W38" s="367">
        <v>1141</v>
      </c>
      <c r="X38" s="367">
        <v>56940.7</v>
      </c>
      <c r="Y38" s="367">
        <v>48533</v>
      </c>
      <c r="Z38" s="367">
        <v>16923</v>
      </c>
      <c r="AA38" s="368">
        <v>5999.988516275398</v>
      </c>
      <c r="AB38" s="369">
        <f t="shared" si="4"/>
        <v>210575.6885162754</v>
      </c>
      <c r="AC38" s="371"/>
      <c r="AD38" s="372"/>
      <c r="AE38" s="372"/>
      <c r="AF38" s="372"/>
      <c r="AG38" s="372"/>
      <c r="AH38" s="373"/>
      <c r="AI38" s="372"/>
      <c r="AJ38" s="372"/>
    </row>
    <row r="39" spans="1:36" s="337" customFormat="1" ht="14.25">
      <c r="A39" s="363">
        <f t="shared" si="2"/>
        <v>30</v>
      </c>
      <c r="B39" s="570" t="s">
        <v>137</v>
      </c>
      <c r="C39" s="370"/>
      <c r="D39" s="370"/>
      <c r="E39" s="367"/>
      <c r="F39" s="367"/>
      <c r="G39" s="367"/>
      <c r="H39" s="367"/>
      <c r="I39" s="367"/>
      <c r="J39" s="364"/>
      <c r="K39" s="364"/>
      <c r="L39" s="364"/>
      <c r="M39" s="367"/>
      <c r="N39" s="367"/>
      <c r="O39" s="367"/>
      <c r="P39" s="367"/>
      <c r="Q39" s="367"/>
      <c r="R39" s="367"/>
      <c r="S39" s="367"/>
      <c r="T39" s="367"/>
      <c r="U39" s="367"/>
      <c r="V39" s="367">
        <v>5929</v>
      </c>
      <c r="W39" s="367">
        <v>37867</v>
      </c>
      <c r="X39" s="367">
        <v>2616</v>
      </c>
      <c r="Y39" s="367">
        <v>992</v>
      </c>
      <c r="Z39" s="367">
        <v>1286</v>
      </c>
      <c r="AA39" s="368">
        <v>604.941</v>
      </c>
      <c r="AB39" s="369">
        <f t="shared" si="4"/>
        <v>49294.941</v>
      </c>
      <c r="AC39" s="371"/>
      <c r="AD39" s="372"/>
      <c r="AE39" s="371"/>
      <c r="AF39" s="371"/>
      <c r="AG39" s="372"/>
      <c r="AH39" s="373"/>
      <c r="AI39" s="372"/>
      <c r="AJ39" s="372"/>
    </row>
    <row r="40" spans="1:36" s="337" customFormat="1" ht="29.25" customHeight="1">
      <c r="A40" s="363">
        <f t="shared" si="2"/>
        <v>31</v>
      </c>
      <c r="B40" s="571" t="s">
        <v>138</v>
      </c>
      <c r="C40" s="370"/>
      <c r="D40" s="370"/>
      <c r="E40" s="367"/>
      <c r="F40" s="367"/>
      <c r="G40" s="367"/>
      <c r="H40" s="367"/>
      <c r="I40" s="367"/>
      <c r="J40" s="367"/>
      <c r="K40" s="367">
        <v>792</v>
      </c>
      <c r="L40" s="367">
        <v>25.5</v>
      </c>
      <c r="M40" s="367">
        <v>23</v>
      </c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8"/>
      <c r="AB40" s="369">
        <f t="shared" si="4"/>
        <v>840.5</v>
      </c>
      <c r="AC40" s="371"/>
      <c r="AD40" s="372"/>
      <c r="AE40" s="371"/>
      <c r="AF40" s="371"/>
      <c r="AG40" s="372"/>
      <c r="AH40" s="373"/>
      <c r="AI40" s="372"/>
      <c r="AJ40" s="372"/>
    </row>
    <row r="41" spans="1:36" s="337" customFormat="1" ht="14.25">
      <c r="A41" s="363">
        <f t="shared" si="2"/>
        <v>32</v>
      </c>
      <c r="B41" s="570" t="s">
        <v>139</v>
      </c>
      <c r="C41" s="370"/>
      <c r="D41" s="370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>
        <v>718</v>
      </c>
      <c r="Y41" s="367">
        <v>776</v>
      </c>
      <c r="Z41" s="367">
        <v>1152</v>
      </c>
      <c r="AA41" s="368">
        <v>237.93</v>
      </c>
      <c r="AB41" s="369">
        <f t="shared" si="4"/>
        <v>2883.93</v>
      </c>
      <c r="AC41" s="371"/>
      <c r="AD41" s="371"/>
      <c r="AE41" s="371"/>
      <c r="AF41" s="371"/>
      <c r="AG41" s="371"/>
      <c r="AH41" s="372"/>
      <c r="AI41" s="372"/>
      <c r="AJ41" s="372"/>
    </row>
    <row r="42" spans="1:36" s="337" customFormat="1" ht="14.25">
      <c r="A42" s="363">
        <f t="shared" si="2"/>
        <v>33</v>
      </c>
      <c r="B42" s="570" t="s">
        <v>140</v>
      </c>
      <c r="C42" s="370"/>
      <c r="D42" s="370"/>
      <c r="E42" s="367"/>
      <c r="F42" s="367"/>
      <c r="G42" s="367"/>
      <c r="H42" s="367"/>
      <c r="I42" s="367"/>
      <c r="J42" s="367">
        <v>32416.105</v>
      </c>
      <c r="K42" s="367">
        <v>37156.508</v>
      </c>
      <c r="L42" s="367">
        <v>104710.859</v>
      </c>
      <c r="M42" s="367">
        <v>86324</v>
      </c>
      <c r="N42" s="367">
        <v>970</v>
      </c>
      <c r="O42" s="367">
        <v>5090</v>
      </c>
      <c r="P42" s="367">
        <v>2433</v>
      </c>
      <c r="Q42" s="367">
        <v>34608</v>
      </c>
      <c r="R42" s="367">
        <v>11653</v>
      </c>
      <c r="S42" s="367">
        <v>56770</v>
      </c>
      <c r="T42" s="367">
        <v>78712</v>
      </c>
      <c r="U42" s="367">
        <v>69851</v>
      </c>
      <c r="V42" s="367">
        <v>33109</v>
      </c>
      <c r="W42" s="367">
        <v>88781</v>
      </c>
      <c r="X42" s="367">
        <v>270138</v>
      </c>
      <c r="Y42" s="367">
        <v>490574</v>
      </c>
      <c r="Z42" s="367">
        <v>206693</v>
      </c>
      <c r="AA42" s="368">
        <v>281064.61238999997</v>
      </c>
      <c r="AB42" s="369">
        <f t="shared" si="4"/>
        <v>1891054.08439</v>
      </c>
      <c r="AC42" s="371"/>
      <c r="AD42" s="371"/>
      <c r="AE42" s="372"/>
      <c r="AF42" s="371"/>
      <c r="AG42" s="371"/>
      <c r="AH42" s="373"/>
      <c r="AI42" s="372"/>
      <c r="AJ42" s="372"/>
    </row>
    <row r="43" spans="1:36" s="337" customFormat="1" ht="14.25">
      <c r="A43" s="363">
        <f aca="true" t="shared" si="5" ref="A43:A72">+A42+1</f>
        <v>34</v>
      </c>
      <c r="B43" s="570" t="s">
        <v>296</v>
      </c>
      <c r="C43" s="370"/>
      <c r="D43" s="370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>
        <v>155000</v>
      </c>
      <c r="X43" s="367">
        <v>2532.7</v>
      </c>
      <c r="Y43" s="367">
        <v>941</v>
      </c>
      <c r="Z43" s="367"/>
      <c r="AA43" s="368">
        <v>55000</v>
      </c>
      <c r="AB43" s="369">
        <f t="shared" si="4"/>
        <v>213473.7</v>
      </c>
      <c r="AC43" s="371"/>
      <c r="AD43" s="371"/>
      <c r="AE43" s="372"/>
      <c r="AF43" s="371"/>
      <c r="AG43" s="371"/>
      <c r="AH43" s="373"/>
      <c r="AI43" s="372"/>
      <c r="AJ43" s="372"/>
    </row>
    <row r="44" spans="1:36" s="337" customFormat="1" ht="14.25">
      <c r="A44" s="363">
        <f t="shared" si="5"/>
        <v>35</v>
      </c>
      <c r="B44" s="570" t="s">
        <v>141</v>
      </c>
      <c r="C44" s="370"/>
      <c r="D44" s="370"/>
      <c r="E44" s="367"/>
      <c r="F44" s="367"/>
      <c r="G44" s="367"/>
      <c r="H44" s="367"/>
      <c r="I44" s="367"/>
      <c r="J44" s="364"/>
      <c r="K44" s="364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>
        <v>7483</v>
      </c>
      <c r="W44" s="367">
        <v>33759</v>
      </c>
      <c r="X44" s="367">
        <v>328925</v>
      </c>
      <c r="Y44" s="367">
        <v>195512</v>
      </c>
      <c r="Z44" s="367">
        <v>185271</v>
      </c>
      <c r="AA44" s="368">
        <v>7741</v>
      </c>
      <c r="AB44" s="369">
        <f t="shared" si="4"/>
        <v>758691</v>
      </c>
      <c r="AC44" s="371"/>
      <c r="AD44" s="371"/>
      <c r="AE44" s="372"/>
      <c r="AF44" s="371"/>
      <c r="AG44" s="371"/>
      <c r="AH44" s="373"/>
      <c r="AI44" s="372"/>
      <c r="AJ44" s="372"/>
    </row>
    <row r="45" spans="1:36" s="337" customFormat="1" ht="14.25">
      <c r="A45" s="363">
        <f t="shared" si="5"/>
        <v>36</v>
      </c>
      <c r="B45" s="570" t="s">
        <v>142</v>
      </c>
      <c r="C45" s="370"/>
      <c r="D45" s="370"/>
      <c r="E45" s="367"/>
      <c r="F45" s="367"/>
      <c r="G45" s="367"/>
      <c r="H45" s="367"/>
      <c r="I45" s="367"/>
      <c r="J45" s="364"/>
      <c r="K45" s="364"/>
      <c r="L45" s="364">
        <v>0</v>
      </c>
      <c r="M45" s="367"/>
      <c r="N45" s="367"/>
      <c r="O45" s="367"/>
      <c r="P45" s="367"/>
      <c r="Q45" s="367"/>
      <c r="R45" s="367"/>
      <c r="S45" s="367"/>
      <c r="T45" s="367"/>
      <c r="U45" s="367"/>
      <c r="V45" s="367">
        <v>1246</v>
      </c>
      <c r="W45" s="367">
        <v>4106</v>
      </c>
      <c r="X45" s="367"/>
      <c r="Y45" s="367"/>
      <c r="Z45" s="367"/>
      <c r="AA45" s="368"/>
      <c r="AB45" s="369">
        <f t="shared" si="4"/>
        <v>5352</v>
      </c>
      <c r="AC45" s="371"/>
      <c r="AD45" s="371"/>
      <c r="AE45" s="372"/>
      <c r="AF45" s="371"/>
      <c r="AG45" s="371"/>
      <c r="AH45" s="372"/>
      <c r="AI45" s="372"/>
      <c r="AJ45" s="372"/>
    </row>
    <row r="46" spans="1:36" s="337" customFormat="1" ht="14.25">
      <c r="A46" s="363">
        <f t="shared" si="5"/>
        <v>37</v>
      </c>
      <c r="B46" s="570" t="s">
        <v>143</v>
      </c>
      <c r="C46" s="370"/>
      <c r="D46" s="370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>
        <v>9650</v>
      </c>
      <c r="X46" s="367">
        <v>6479.3</v>
      </c>
      <c r="Y46" s="367">
        <v>4542</v>
      </c>
      <c r="Z46" s="367"/>
      <c r="AA46" s="368"/>
      <c r="AB46" s="369">
        <f t="shared" si="4"/>
        <v>20671.3</v>
      </c>
      <c r="AC46" s="371"/>
      <c r="AD46" s="371"/>
      <c r="AE46" s="371"/>
      <c r="AF46" s="372"/>
      <c r="AG46" s="372"/>
      <c r="AH46" s="373"/>
      <c r="AI46" s="372"/>
      <c r="AJ46" s="372"/>
    </row>
    <row r="47" spans="1:36" s="337" customFormat="1" ht="14.25">
      <c r="A47" s="363">
        <f t="shared" si="5"/>
        <v>38</v>
      </c>
      <c r="B47" s="570" t="s">
        <v>245</v>
      </c>
      <c r="C47" s="370"/>
      <c r="D47" s="370"/>
      <c r="E47" s="367"/>
      <c r="F47" s="367"/>
      <c r="G47" s="367"/>
      <c r="H47" s="367"/>
      <c r="I47" s="367"/>
      <c r="J47" s="364"/>
      <c r="K47" s="364"/>
      <c r="L47" s="367"/>
      <c r="M47" s="367"/>
      <c r="N47" s="367"/>
      <c r="O47" s="367"/>
      <c r="P47" s="367"/>
      <c r="Q47" s="367"/>
      <c r="R47" s="367"/>
      <c r="S47" s="367">
        <v>48894</v>
      </c>
      <c r="T47" s="367">
        <v>16022</v>
      </c>
      <c r="U47" s="573" t="s">
        <v>77</v>
      </c>
      <c r="V47" s="573" t="s">
        <v>77</v>
      </c>
      <c r="W47" s="573" t="s">
        <v>77</v>
      </c>
      <c r="X47" s="573" t="s">
        <v>77</v>
      </c>
      <c r="Y47" s="573" t="s">
        <v>77</v>
      </c>
      <c r="Z47" s="573" t="s">
        <v>77</v>
      </c>
      <c r="AA47" s="721"/>
      <c r="AB47" s="369">
        <f t="shared" si="4"/>
        <v>64916</v>
      </c>
      <c r="AC47" s="371"/>
      <c r="AD47" s="371"/>
      <c r="AE47" s="371"/>
      <c r="AF47" s="372"/>
      <c r="AG47" s="372"/>
      <c r="AH47" s="373"/>
      <c r="AI47" s="372"/>
      <c r="AJ47" s="372"/>
    </row>
    <row r="48" spans="1:36" s="337" customFormat="1" ht="14.25">
      <c r="A48" s="363">
        <f t="shared" si="5"/>
        <v>39</v>
      </c>
      <c r="B48" s="570" t="s">
        <v>144</v>
      </c>
      <c r="C48" s="370"/>
      <c r="D48" s="370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>
        <v>716</v>
      </c>
      <c r="Y48" s="367"/>
      <c r="Z48" s="367"/>
      <c r="AA48" s="368"/>
      <c r="AB48" s="369">
        <f t="shared" si="4"/>
        <v>716</v>
      </c>
      <c r="AC48" s="371"/>
      <c r="AD48" s="371"/>
      <c r="AE48" s="371"/>
      <c r="AF48" s="372"/>
      <c r="AG48" s="372"/>
      <c r="AH48" s="372"/>
      <c r="AI48" s="372"/>
      <c r="AJ48" s="372"/>
    </row>
    <row r="49" spans="1:63" s="337" customFormat="1" ht="14.25">
      <c r="A49" s="363">
        <f t="shared" si="5"/>
        <v>40</v>
      </c>
      <c r="B49" s="570" t="s">
        <v>145</v>
      </c>
      <c r="C49" s="370"/>
      <c r="D49" s="370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>
        <v>739</v>
      </c>
      <c r="Y49" s="367"/>
      <c r="Z49" s="367"/>
      <c r="AA49" s="368"/>
      <c r="AB49" s="369">
        <f t="shared" si="4"/>
        <v>739</v>
      </c>
      <c r="AC49" s="371"/>
      <c r="AD49" s="371"/>
      <c r="AE49" s="371"/>
      <c r="AF49" s="371"/>
      <c r="AG49" s="372"/>
      <c r="AH49" s="371"/>
      <c r="AI49" s="371"/>
      <c r="AJ49" s="371"/>
      <c r="AL49" s="374"/>
      <c r="AM49" s="375"/>
      <c r="AN49" s="375"/>
      <c r="AO49" s="375"/>
      <c r="AP49" s="375"/>
      <c r="AQ49" s="375"/>
      <c r="AR49" s="375"/>
      <c r="AS49" s="375"/>
      <c r="AT49" s="375"/>
      <c r="AU49" s="375"/>
      <c r="AV49" s="375"/>
      <c r="AW49" s="375"/>
      <c r="AX49" s="375"/>
      <c r="AY49" s="375"/>
      <c r="AZ49" s="375"/>
      <c r="BA49" s="375"/>
      <c r="BB49" s="375"/>
      <c r="BC49" s="375"/>
      <c r="BD49" s="375"/>
      <c r="BE49" s="375"/>
      <c r="BF49" s="375"/>
      <c r="BG49" s="375"/>
      <c r="BH49" s="375"/>
      <c r="BI49" s="375"/>
      <c r="BJ49" s="375"/>
      <c r="BK49" s="375"/>
    </row>
    <row r="50" spans="1:63" s="337" customFormat="1" ht="14.25">
      <c r="A50" s="363">
        <f t="shared" si="5"/>
        <v>41</v>
      </c>
      <c r="B50" s="570" t="s">
        <v>298</v>
      </c>
      <c r="C50" s="370"/>
      <c r="D50" s="370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>
        <v>708</v>
      </c>
      <c r="X50" s="367">
        <v>5490</v>
      </c>
      <c r="Y50" s="367"/>
      <c r="Z50" s="367"/>
      <c r="AA50" s="368"/>
      <c r="AB50" s="369">
        <f t="shared" si="4"/>
        <v>6198</v>
      </c>
      <c r="AC50" s="371"/>
      <c r="AD50" s="371"/>
      <c r="AE50" s="371"/>
      <c r="AF50" s="371"/>
      <c r="AG50" s="372"/>
      <c r="AH50" s="371"/>
      <c r="AI50" s="371"/>
      <c r="AJ50" s="371"/>
      <c r="AL50" s="371"/>
      <c r="AM50" s="371"/>
      <c r="AN50" s="371"/>
      <c r="AO50" s="371"/>
      <c r="AP50" s="371"/>
      <c r="AQ50" s="371"/>
      <c r="AR50" s="371"/>
      <c r="AS50" s="371"/>
      <c r="AT50" s="371"/>
      <c r="AU50" s="371"/>
      <c r="AV50" s="371"/>
      <c r="AW50" s="371"/>
      <c r="AX50" s="371"/>
      <c r="AY50" s="371"/>
      <c r="AZ50" s="371"/>
      <c r="BA50" s="371"/>
      <c r="BB50" s="371"/>
      <c r="BC50" s="371"/>
      <c r="BD50" s="371"/>
      <c r="BE50" s="371"/>
      <c r="BF50" s="371"/>
      <c r="BG50" s="371"/>
      <c r="BH50" s="371"/>
      <c r="BI50" s="371"/>
      <c r="BJ50" s="371"/>
      <c r="BK50" s="371"/>
    </row>
    <row r="51" spans="1:63" s="710" customFormat="1" ht="14.25">
      <c r="A51" s="1055">
        <f t="shared" si="5"/>
        <v>42</v>
      </c>
      <c r="B51" s="570" t="s">
        <v>218</v>
      </c>
      <c r="C51" s="370"/>
      <c r="D51" s="370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>
        <v>844</v>
      </c>
      <c r="Z51" s="367"/>
      <c r="AA51" s="368"/>
      <c r="AB51" s="369">
        <f t="shared" si="4"/>
        <v>844</v>
      </c>
      <c r="AC51" s="1061"/>
      <c r="AD51" s="1061"/>
      <c r="AE51" s="1061"/>
      <c r="AF51" s="1061"/>
      <c r="AG51" s="1062"/>
      <c r="AH51" s="1061"/>
      <c r="AI51" s="1061"/>
      <c r="AJ51" s="1061"/>
      <c r="AL51" s="1061"/>
      <c r="AM51" s="1061"/>
      <c r="AN51" s="1061"/>
      <c r="AO51" s="1061"/>
      <c r="AP51" s="1061"/>
      <c r="AQ51" s="1061"/>
      <c r="AR51" s="1061"/>
      <c r="AS51" s="1061"/>
      <c r="AT51" s="1061"/>
      <c r="AU51" s="1061"/>
      <c r="AV51" s="1061"/>
      <c r="AW51" s="1061"/>
      <c r="AX51" s="1061"/>
      <c r="AY51" s="1061"/>
      <c r="AZ51" s="1061"/>
      <c r="BA51" s="1061"/>
      <c r="BB51" s="1061"/>
      <c r="BC51" s="1061"/>
      <c r="BD51" s="1061"/>
      <c r="BE51" s="1061"/>
      <c r="BF51" s="1061"/>
      <c r="BG51" s="1061"/>
      <c r="BH51" s="1061"/>
      <c r="BI51" s="1061"/>
      <c r="BJ51" s="1061"/>
      <c r="BK51" s="1061"/>
    </row>
    <row r="52" spans="1:63" s="337" customFormat="1" ht="14.25">
      <c r="A52" s="363">
        <f t="shared" si="5"/>
        <v>43</v>
      </c>
      <c r="B52" s="1056" t="s">
        <v>146</v>
      </c>
      <c r="C52" s="1057"/>
      <c r="D52" s="1057"/>
      <c r="E52" s="1058"/>
      <c r="F52" s="1058"/>
      <c r="G52" s="1058"/>
      <c r="H52" s="1058"/>
      <c r="I52" s="1058"/>
      <c r="J52" s="1058"/>
      <c r="K52" s="1058"/>
      <c r="L52" s="1058"/>
      <c r="M52" s="1058"/>
      <c r="N52" s="1058"/>
      <c r="O52" s="1058"/>
      <c r="P52" s="1058"/>
      <c r="Q52" s="1058"/>
      <c r="R52" s="1058"/>
      <c r="S52" s="1058"/>
      <c r="T52" s="1058"/>
      <c r="U52" s="1058"/>
      <c r="V52" s="1058"/>
      <c r="W52" s="1058">
        <v>20893</v>
      </c>
      <c r="X52" s="1058">
        <v>19567</v>
      </c>
      <c r="Y52" s="1058">
        <v>6547.36045</v>
      </c>
      <c r="Z52" s="1058"/>
      <c r="AA52" s="1059"/>
      <c r="AB52" s="1060">
        <f t="shared" si="4"/>
        <v>47007.36045</v>
      </c>
      <c r="AC52" s="371"/>
      <c r="AD52" s="371"/>
      <c r="AE52" s="371"/>
      <c r="AF52" s="371"/>
      <c r="AG52" s="372"/>
      <c r="AH52" s="371"/>
      <c r="AI52" s="371"/>
      <c r="AJ52" s="371"/>
      <c r="AL52" s="371"/>
      <c r="AM52" s="371"/>
      <c r="AN52" s="371"/>
      <c r="AO52" s="371"/>
      <c r="AP52" s="371"/>
      <c r="AQ52" s="371"/>
      <c r="AR52" s="371"/>
      <c r="AS52" s="371"/>
      <c r="AT52" s="371"/>
      <c r="AU52" s="371"/>
      <c r="AV52" s="371"/>
      <c r="AW52" s="371"/>
      <c r="AX52" s="371"/>
      <c r="AY52" s="371"/>
      <c r="AZ52" s="371"/>
      <c r="BA52" s="371"/>
      <c r="BB52" s="371"/>
      <c r="BC52" s="371"/>
      <c r="BD52" s="371"/>
      <c r="BE52" s="371"/>
      <c r="BF52" s="371"/>
      <c r="BG52" s="371"/>
      <c r="BH52" s="371"/>
      <c r="BI52" s="371"/>
      <c r="BJ52" s="371"/>
      <c r="BK52" s="371"/>
    </row>
    <row r="53" spans="1:63" s="337" customFormat="1" ht="14.25">
      <c r="A53" s="363">
        <f t="shared" si="5"/>
        <v>44</v>
      </c>
      <c r="B53" s="570" t="s">
        <v>219</v>
      </c>
      <c r="C53" s="370"/>
      <c r="D53" s="370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>
        <v>28</v>
      </c>
      <c r="Z53" s="367"/>
      <c r="AA53" s="368"/>
      <c r="AB53" s="369">
        <f t="shared" si="4"/>
        <v>28</v>
      </c>
      <c r="AC53" s="371"/>
      <c r="AD53" s="371"/>
      <c r="AE53" s="371"/>
      <c r="AF53" s="371"/>
      <c r="AG53" s="372"/>
      <c r="AH53" s="371"/>
      <c r="AI53" s="371"/>
      <c r="AJ53" s="371"/>
      <c r="AL53" s="371"/>
      <c r="AM53" s="371"/>
      <c r="AN53" s="371"/>
      <c r="AO53" s="371"/>
      <c r="AP53" s="371"/>
      <c r="AQ53" s="371"/>
      <c r="AR53" s="371"/>
      <c r="AS53" s="371"/>
      <c r="AT53" s="371"/>
      <c r="AU53" s="371"/>
      <c r="AV53" s="371"/>
      <c r="AW53" s="371"/>
      <c r="AX53" s="371"/>
      <c r="AY53" s="371"/>
      <c r="AZ53" s="371"/>
      <c r="BA53" s="371"/>
      <c r="BB53" s="371"/>
      <c r="BC53" s="371"/>
      <c r="BD53" s="371"/>
      <c r="BE53" s="371"/>
      <c r="BF53" s="371"/>
      <c r="BG53" s="371"/>
      <c r="BH53" s="371"/>
      <c r="BI53" s="371"/>
      <c r="BJ53" s="371"/>
      <c r="BK53" s="371"/>
    </row>
    <row r="54" spans="1:63" s="337" customFormat="1" ht="14.25">
      <c r="A54" s="363">
        <f t="shared" si="5"/>
        <v>45</v>
      </c>
      <c r="B54" s="570" t="s">
        <v>147</v>
      </c>
      <c r="C54" s="370"/>
      <c r="D54" s="370"/>
      <c r="E54" s="367"/>
      <c r="F54" s="367"/>
      <c r="G54" s="367"/>
      <c r="H54" s="367"/>
      <c r="I54" s="367"/>
      <c r="J54" s="367"/>
      <c r="K54" s="367">
        <v>156</v>
      </c>
      <c r="L54" s="367">
        <v>244</v>
      </c>
      <c r="M54" s="367">
        <v>300</v>
      </c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8"/>
      <c r="AB54" s="369">
        <f t="shared" si="4"/>
        <v>700</v>
      </c>
      <c r="AC54" s="371"/>
      <c r="AD54" s="371"/>
      <c r="AE54" s="371"/>
      <c r="AF54" s="371"/>
      <c r="AG54" s="372"/>
      <c r="AH54" s="376"/>
      <c r="AI54" s="371"/>
      <c r="AJ54" s="371"/>
      <c r="AL54" s="371"/>
      <c r="AM54" s="371"/>
      <c r="AN54" s="371"/>
      <c r="AO54" s="371"/>
      <c r="AP54" s="371"/>
      <c r="AQ54" s="371"/>
      <c r="AR54" s="371"/>
      <c r="AS54" s="371"/>
      <c r="AT54" s="371"/>
      <c r="AU54" s="371"/>
      <c r="AV54" s="371"/>
      <c r="AW54" s="371"/>
      <c r="AX54" s="371"/>
      <c r="AY54" s="371"/>
      <c r="AZ54" s="371"/>
      <c r="BA54" s="371"/>
      <c r="BB54" s="371"/>
      <c r="BC54" s="371"/>
      <c r="BD54" s="371"/>
      <c r="BE54" s="371"/>
      <c r="BF54" s="371"/>
      <c r="BG54" s="371"/>
      <c r="BH54" s="371"/>
      <c r="BI54" s="371"/>
      <c r="BJ54" s="371"/>
      <c r="BK54" s="371"/>
    </row>
    <row r="55" spans="1:63" s="337" customFormat="1" ht="14.25">
      <c r="A55" s="363">
        <f>+A54+1</f>
        <v>46</v>
      </c>
      <c r="B55" s="570" t="s">
        <v>148</v>
      </c>
      <c r="C55" s="370"/>
      <c r="D55" s="370"/>
      <c r="E55" s="367"/>
      <c r="F55" s="367"/>
      <c r="G55" s="367"/>
      <c r="H55" s="367"/>
      <c r="I55" s="367"/>
      <c r="J55" s="364"/>
      <c r="K55" s="364"/>
      <c r="L55" s="364"/>
      <c r="M55" s="367"/>
      <c r="N55" s="367"/>
      <c r="O55" s="367"/>
      <c r="P55" s="367"/>
      <c r="Q55" s="367"/>
      <c r="R55" s="367"/>
      <c r="S55" s="367"/>
      <c r="T55" s="367"/>
      <c r="U55" s="367">
        <v>103037</v>
      </c>
      <c r="V55" s="367">
        <v>91026</v>
      </c>
      <c r="W55" s="367">
        <v>76529</v>
      </c>
      <c r="X55" s="367">
        <v>197258</v>
      </c>
      <c r="Y55" s="367">
        <v>59670</v>
      </c>
      <c r="Z55" s="367">
        <v>114000</v>
      </c>
      <c r="AA55" s="368">
        <v>122256.727</v>
      </c>
      <c r="AB55" s="369">
        <f t="shared" si="4"/>
        <v>763776.727</v>
      </c>
      <c r="AC55" s="371"/>
      <c r="AD55" s="371"/>
      <c r="AE55" s="371"/>
      <c r="AF55" s="371"/>
      <c r="AG55" s="372"/>
      <c r="AH55" s="376"/>
      <c r="AI55" s="371"/>
      <c r="AJ55" s="371"/>
      <c r="AL55" s="371"/>
      <c r="AM55" s="371"/>
      <c r="AN55" s="371"/>
      <c r="AO55" s="371"/>
      <c r="AP55" s="371"/>
      <c r="AQ55" s="371"/>
      <c r="AR55" s="371"/>
      <c r="AS55" s="371"/>
      <c r="AT55" s="371"/>
      <c r="AU55" s="371"/>
      <c r="AV55" s="371"/>
      <c r="AW55" s="371"/>
      <c r="AX55" s="371"/>
      <c r="AY55" s="371"/>
      <c r="AZ55" s="371"/>
      <c r="BA55" s="371"/>
      <c r="BB55" s="371"/>
      <c r="BC55" s="371"/>
      <c r="BD55" s="371"/>
      <c r="BE55" s="371"/>
      <c r="BF55" s="371"/>
      <c r="BG55" s="371"/>
      <c r="BH55" s="371"/>
      <c r="BI55" s="371"/>
      <c r="BJ55" s="371"/>
      <c r="BK55" s="371"/>
    </row>
    <row r="56" spans="1:63" s="337" customFormat="1" ht="14.25">
      <c r="A56" s="363">
        <f t="shared" si="5"/>
        <v>47</v>
      </c>
      <c r="B56" s="570" t="s">
        <v>244</v>
      </c>
      <c r="C56" s="370"/>
      <c r="D56" s="370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>
        <v>1388</v>
      </c>
      <c r="AA56" s="368">
        <v>5203</v>
      </c>
      <c r="AB56" s="369">
        <f t="shared" si="4"/>
        <v>6591</v>
      </c>
      <c r="AC56" s="371"/>
      <c r="AD56" s="371"/>
      <c r="AE56" s="371"/>
      <c r="AF56" s="371"/>
      <c r="AG56" s="372"/>
      <c r="AH56" s="376"/>
      <c r="AI56" s="371"/>
      <c r="AJ56" s="371"/>
      <c r="AL56" s="371"/>
      <c r="AM56" s="371"/>
      <c r="AN56" s="371"/>
      <c r="AO56" s="371"/>
      <c r="AP56" s="371"/>
      <c r="AQ56" s="371"/>
      <c r="AR56" s="371"/>
      <c r="AS56" s="371"/>
      <c r="AT56" s="371"/>
      <c r="AU56" s="371"/>
      <c r="AV56" s="371"/>
      <c r="AW56" s="371"/>
      <c r="AX56" s="371"/>
      <c r="AY56" s="371"/>
      <c r="AZ56" s="371"/>
      <c r="BA56" s="371"/>
      <c r="BB56" s="371"/>
      <c r="BC56" s="371"/>
      <c r="BD56" s="371"/>
      <c r="BE56" s="371"/>
      <c r="BF56" s="371"/>
      <c r="BG56" s="371"/>
      <c r="BH56" s="371"/>
      <c r="BI56" s="371"/>
      <c r="BJ56" s="371"/>
      <c r="BK56" s="371"/>
    </row>
    <row r="57" spans="1:63" s="337" customFormat="1" ht="14.25">
      <c r="A57" s="363">
        <f>+A56+1</f>
        <v>48</v>
      </c>
      <c r="B57" s="570" t="s">
        <v>299</v>
      </c>
      <c r="C57" s="370"/>
      <c r="D57" s="370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>
        <v>2000</v>
      </c>
      <c r="X57" s="367"/>
      <c r="Y57" s="367"/>
      <c r="Z57" s="367"/>
      <c r="AA57" s="368"/>
      <c r="AB57" s="369">
        <f t="shared" si="4"/>
        <v>2000</v>
      </c>
      <c r="AC57" s="371"/>
      <c r="AD57" s="371"/>
      <c r="AE57" s="371"/>
      <c r="AF57" s="371"/>
      <c r="AG57" s="372"/>
      <c r="AH57" s="376"/>
      <c r="AI57" s="371"/>
      <c r="AJ57" s="371"/>
      <c r="AL57" s="371"/>
      <c r="AM57" s="371"/>
      <c r="AN57" s="371"/>
      <c r="AO57" s="371"/>
      <c r="AP57" s="371"/>
      <c r="AQ57" s="371"/>
      <c r="AR57" s="371"/>
      <c r="AS57" s="371"/>
      <c r="AT57" s="371"/>
      <c r="AU57" s="371"/>
      <c r="AV57" s="371"/>
      <c r="AW57" s="371"/>
      <c r="AX57" s="371"/>
      <c r="AY57" s="371"/>
      <c r="AZ57" s="371"/>
      <c r="BA57" s="371"/>
      <c r="BB57" s="371"/>
      <c r="BC57" s="371"/>
      <c r="BD57" s="371"/>
      <c r="BE57" s="371"/>
      <c r="BF57" s="371"/>
      <c r="BG57" s="371"/>
      <c r="BH57" s="371"/>
      <c r="BI57" s="371"/>
      <c r="BJ57" s="371"/>
      <c r="BK57" s="371"/>
    </row>
    <row r="58" spans="1:63" s="337" customFormat="1" ht="14.25">
      <c r="A58" s="363">
        <f>+A57+1</f>
        <v>49</v>
      </c>
      <c r="B58" s="570" t="s">
        <v>297</v>
      </c>
      <c r="C58" s="370"/>
      <c r="D58" s="370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8">
        <v>10750</v>
      </c>
      <c r="AB58" s="369">
        <f t="shared" si="4"/>
        <v>10750</v>
      </c>
      <c r="AC58" s="371"/>
      <c r="AD58" s="371"/>
      <c r="AE58" s="371"/>
      <c r="AF58" s="371"/>
      <c r="AG58" s="372"/>
      <c r="AH58" s="376"/>
      <c r="AI58" s="371"/>
      <c r="AJ58" s="371"/>
      <c r="AL58" s="371"/>
      <c r="AM58" s="371"/>
      <c r="AN58" s="371"/>
      <c r="AO58" s="371"/>
      <c r="AP58" s="371"/>
      <c r="AQ58" s="371"/>
      <c r="AR58" s="371"/>
      <c r="AS58" s="371"/>
      <c r="AT58" s="371"/>
      <c r="AU58" s="371"/>
      <c r="AV58" s="371"/>
      <c r="AW58" s="371"/>
      <c r="AX58" s="371"/>
      <c r="AY58" s="371"/>
      <c r="AZ58" s="371"/>
      <c r="BA58" s="371"/>
      <c r="BB58" s="371"/>
      <c r="BC58" s="371"/>
      <c r="BD58" s="371"/>
      <c r="BE58" s="371"/>
      <c r="BF58" s="371"/>
      <c r="BG58" s="371"/>
      <c r="BH58" s="371"/>
      <c r="BI58" s="371"/>
      <c r="BJ58" s="371"/>
      <c r="BK58" s="371"/>
    </row>
    <row r="59" spans="1:63" s="337" customFormat="1" ht="14.25">
      <c r="A59" s="363">
        <f>+A58+1</f>
        <v>50</v>
      </c>
      <c r="B59" s="570" t="s">
        <v>286</v>
      </c>
      <c r="C59" s="370"/>
      <c r="D59" s="370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>
        <v>64026</v>
      </c>
      <c r="AA59" s="368">
        <v>15596</v>
      </c>
      <c r="AB59" s="369">
        <f t="shared" si="4"/>
        <v>79622</v>
      </c>
      <c r="AC59" s="371"/>
      <c r="AD59" s="371"/>
      <c r="AE59" s="371"/>
      <c r="AF59" s="371"/>
      <c r="AG59" s="372"/>
      <c r="AH59" s="376"/>
      <c r="AI59" s="371"/>
      <c r="AJ59" s="371"/>
      <c r="AL59" s="371"/>
      <c r="AM59" s="371"/>
      <c r="AN59" s="371"/>
      <c r="AO59" s="371"/>
      <c r="AP59" s="371"/>
      <c r="AQ59" s="371"/>
      <c r="AR59" s="371"/>
      <c r="AS59" s="371"/>
      <c r="AT59" s="371"/>
      <c r="AU59" s="371"/>
      <c r="AV59" s="371"/>
      <c r="AW59" s="371"/>
      <c r="AX59" s="371"/>
      <c r="AY59" s="371"/>
      <c r="AZ59" s="371"/>
      <c r="BA59" s="371"/>
      <c r="BB59" s="371"/>
      <c r="BC59" s="371"/>
      <c r="BD59" s="371"/>
      <c r="BE59" s="371"/>
      <c r="BF59" s="371"/>
      <c r="BG59" s="371"/>
      <c r="BH59" s="371"/>
      <c r="BI59" s="371"/>
      <c r="BJ59" s="371"/>
      <c r="BK59" s="371"/>
    </row>
    <row r="60" spans="1:63" s="337" customFormat="1" ht="14.25">
      <c r="A60" s="363">
        <f t="shared" si="5"/>
        <v>51</v>
      </c>
      <c r="B60" s="570" t="s">
        <v>302</v>
      </c>
      <c r="C60" s="370"/>
      <c r="D60" s="370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>
        <v>37343</v>
      </c>
      <c r="AB60" s="369">
        <f t="shared" si="4"/>
        <v>37343</v>
      </c>
      <c r="AC60" s="371"/>
      <c r="AD60" s="371"/>
      <c r="AE60" s="371"/>
      <c r="AF60" s="371"/>
      <c r="AG60" s="372"/>
      <c r="AH60" s="376"/>
      <c r="AI60" s="371"/>
      <c r="AJ60" s="371"/>
      <c r="AL60" s="371"/>
      <c r="AM60" s="371"/>
      <c r="AN60" s="371"/>
      <c r="AO60" s="371"/>
      <c r="AP60" s="371"/>
      <c r="AQ60" s="371"/>
      <c r="AR60" s="371"/>
      <c r="AS60" s="371"/>
      <c r="AT60" s="371"/>
      <c r="AU60" s="371"/>
      <c r="AV60" s="371"/>
      <c r="AW60" s="371"/>
      <c r="AX60" s="371"/>
      <c r="AY60" s="371"/>
      <c r="AZ60" s="371"/>
      <c r="BA60" s="371"/>
      <c r="BB60" s="371"/>
      <c r="BC60" s="371"/>
      <c r="BD60" s="371"/>
      <c r="BE60" s="371"/>
      <c r="BF60" s="371"/>
      <c r="BG60" s="371"/>
      <c r="BH60" s="371"/>
      <c r="BI60" s="371"/>
      <c r="BJ60" s="371"/>
      <c r="BK60" s="371"/>
    </row>
    <row r="61" spans="1:63" s="337" customFormat="1" ht="14.25">
      <c r="A61" s="363">
        <f t="shared" si="5"/>
        <v>52</v>
      </c>
      <c r="B61" s="570" t="s">
        <v>149</v>
      </c>
      <c r="C61" s="370"/>
      <c r="D61" s="370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>
        <v>237</v>
      </c>
      <c r="U61" s="367">
        <v>197</v>
      </c>
      <c r="V61" s="367">
        <v>548</v>
      </c>
      <c r="W61" s="367">
        <v>292</v>
      </c>
      <c r="X61" s="367">
        <v>228</v>
      </c>
      <c r="Y61" s="367">
        <v>1057</v>
      </c>
      <c r="Z61" s="367">
        <v>23196</v>
      </c>
      <c r="AA61" s="368"/>
      <c r="AB61" s="369">
        <f t="shared" si="4"/>
        <v>25755</v>
      </c>
      <c r="AC61" s="371"/>
      <c r="AD61" s="371"/>
      <c r="AE61" s="371"/>
      <c r="AF61" s="371"/>
      <c r="AG61" s="372"/>
      <c r="AH61" s="371"/>
      <c r="AI61" s="371"/>
      <c r="AJ61" s="371"/>
      <c r="AL61" s="371"/>
      <c r="AM61" s="371"/>
      <c r="AN61" s="371"/>
      <c r="AO61" s="371"/>
      <c r="AP61" s="371"/>
      <c r="AQ61" s="371"/>
      <c r="AR61" s="371"/>
      <c r="AS61" s="371"/>
      <c r="AT61" s="371"/>
      <c r="AU61" s="371"/>
      <c r="AV61" s="371"/>
      <c r="AW61" s="371"/>
      <c r="AX61" s="371"/>
      <c r="AY61" s="371"/>
      <c r="AZ61" s="371"/>
      <c r="BA61" s="371"/>
      <c r="BB61" s="371"/>
      <c r="BC61" s="371"/>
      <c r="BD61" s="371"/>
      <c r="BE61" s="371"/>
      <c r="BF61" s="371"/>
      <c r="BG61" s="371"/>
      <c r="BH61" s="371"/>
      <c r="BI61" s="371"/>
      <c r="BJ61" s="371"/>
      <c r="BK61" s="371"/>
    </row>
    <row r="62" spans="1:63" s="337" customFormat="1" ht="14.25">
      <c r="A62" s="363">
        <f t="shared" si="5"/>
        <v>53</v>
      </c>
      <c r="B62" s="570" t="s">
        <v>301</v>
      </c>
      <c r="C62" s="370"/>
      <c r="D62" s="370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>
        <v>7709</v>
      </c>
      <c r="X62" s="367"/>
      <c r="Y62" s="367"/>
      <c r="Z62" s="367"/>
      <c r="AA62" s="368"/>
      <c r="AB62" s="369">
        <f t="shared" si="4"/>
        <v>7709</v>
      </c>
      <c r="AC62" s="371"/>
      <c r="AD62" s="371"/>
      <c r="AE62" s="371"/>
      <c r="AF62" s="371"/>
      <c r="AG62" s="372"/>
      <c r="AH62" s="371"/>
      <c r="AI62" s="371"/>
      <c r="AJ62" s="371"/>
      <c r="AL62" s="371"/>
      <c r="AM62" s="371"/>
      <c r="AN62" s="371"/>
      <c r="AO62" s="371"/>
      <c r="AP62" s="371"/>
      <c r="AQ62" s="371"/>
      <c r="AR62" s="371"/>
      <c r="AS62" s="371"/>
      <c r="AT62" s="371"/>
      <c r="AU62" s="371"/>
      <c r="AV62" s="371"/>
      <c r="AW62" s="371"/>
      <c r="AX62" s="371"/>
      <c r="AY62" s="371"/>
      <c r="AZ62" s="371"/>
      <c r="BA62" s="371"/>
      <c r="BB62" s="371"/>
      <c r="BC62" s="371"/>
      <c r="BD62" s="371"/>
      <c r="BE62" s="371"/>
      <c r="BF62" s="371"/>
      <c r="BG62" s="371"/>
      <c r="BH62" s="371"/>
      <c r="BI62" s="371"/>
      <c r="BJ62" s="371"/>
      <c r="BK62" s="371"/>
    </row>
    <row r="63" spans="1:63" s="337" customFormat="1" ht="14.25">
      <c r="A63" s="363">
        <f t="shared" si="5"/>
        <v>54</v>
      </c>
      <c r="B63" s="570" t="s">
        <v>305</v>
      </c>
      <c r="C63" s="370"/>
      <c r="D63" s="370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8">
        <v>446428.5714285715</v>
      </c>
      <c r="AB63" s="369">
        <f t="shared" si="4"/>
        <v>446428.5714285715</v>
      </c>
      <c r="AC63" s="371"/>
      <c r="AD63" s="371"/>
      <c r="AE63" s="371"/>
      <c r="AF63" s="371"/>
      <c r="AG63" s="372"/>
      <c r="AH63" s="371"/>
      <c r="AI63" s="371"/>
      <c r="AJ63" s="371"/>
      <c r="AL63" s="371"/>
      <c r="AM63" s="371"/>
      <c r="AN63" s="371"/>
      <c r="AO63" s="371"/>
      <c r="AP63" s="371"/>
      <c r="AQ63" s="371"/>
      <c r="AR63" s="371"/>
      <c r="AS63" s="371"/>
      <c r="AT63" s="371"/>
      <c r="AU63" s="371"/>
      <c r="AV63" s="371"/>
      <c r="AW63" s="371"/>
      <c r="AX63" s="371"/>
      <c r="AY63" s="371"/>
      <c r="AZ63" s="371"/>
      <c r="BA63" s="371"/>
      <c r="BB63" s="371"/>
      <c r="BC63" s="371"/>
      <c r="BD63" s="371"/>
      <c r="BE63" s="371"/>
      <c r="BF63" s="371"/>
      <c r="BG63" s="371"/>
      <c r="BH63" s="371"/>
      <c r="BI63" s="371"/>
      <c r="BJ63" s="371"/>
      <c r="BK63" s="371"/>
    </row>
    <row r="64" spans="1:63" s="337" customFormat="1" ht="14.25">
      <c r="A64" s="363">
        <f t="shared" si="5"/>
        <v>55</v>
      </c>
      <c r="B64" s="570" t="s">
        <v>150</v>
      </c>
      <c r="C64" s="370"/>
      <c r="D64" s="370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>
        <v>120</v>
      </c>
      <c r="T64" s="367">
        <v>515</v>
      </c>
      <c r="U64" s="367">
        <v>578</v>
      </c>
      <c r="V64" s="367">
        <v>1156</v>
      </c>
      <c r="W64" s="573" t="s">
        <v>77</v>
      </c>
      <c r="X64" s="573" t="s">
        <v>77</v>
      </c>
      <c r="Y64" s="573" t="s">
        <v>77</v>
      </c>
      <c r="Z64" s="573" t="s">
        <v>77</v>
      </c>
      <c r="AA64" s="721" t="s">
        <v>77</v>
      </c>
      <c r="AB64" s="369">
        <f t="shared" si="4"/>
        <v>2369</v>
      </c>
      <c r="AC64" s="371"/>
      <c r="AD64" s="371"/>
      <c r="AE64" s="371"/>
      <c r="AF64" s="371"/>
      <c r="AG64" s="372"/>
      <c r="AH64" s="371"/>
      <c r="AI64" s="371"/>
      <c r="AJ64" s="371"/>
      <c r="AL64" s="371"/>
      <c r="AM64" s="371"/>
      <c r="AN64" s="371"/>
      <c r="AO64" s="371"/>
      <c r="AP64" s="371"/>
      <c r="AQ64" s="371"/>
      <c r="AR64" s="371"/>
      <c r="AS64" s="371"/>
      <c r="AT64" s="371"/>
      <c r="AU64" s="371"/>
      <c r="AV64" s="371"/>
      <c r="AW64" s="371"/>
      <c r="AX64" s="371"/>
      <c r="AY64" s="371"/>
      <c r="AZ64" s="371"/>
      <c r="BA64" s="371"/>
      <c r="BB64" s="371"/>
      <c r="BC64" s="371"/>
      <c r="BD64" s="371"/>
      <c r="BE64" s="371"/>
      <c r="BF64" s="371"/>
      <c r="BG64" s="371"/>
      <c r="BH64" s="371"/>
      <c r="BI64" s="371"/>
      <c r="BJ64" s="371"/>
      <c r="BK64" s="371"/>
    </row>
    <row r="65" spans="1:63" s="337" customFormat="1" ht="14.25">
      <c r="A65" s="363">
        <f t="shared" si="5"/>
        <v>56</v>
      </c>
      <c r="B65" s="570" t="s">
        <v>151</v>
      </c>
      <c r="C65" s="370"/>
      <c r="D65" s="370"/>
      <c r="E65" s="367"/>
      <c r="F65" s="367"/>
      <c r="G65" s="367"/>
      <c r="H65" s="367"/>
      <c r="I65" s="367"/>
      <c r="J65" s="367"/>
      <c r="K65" s="367"/>
      <c r="L65" s="367"/>
      <c r="M65" s="367">
        <v>894</v>
      </c>
      <c r="N65" s="367">
        <v>1554</v>
      </c>
      <c r="O65" s="367">
        <v>644</v>
      </c>
      <c r="P65" s="367">
        <v>311</v>
      </c>
      <c r="Q65" s="367">
        <v>538</v>
      </c>
      <c r="R65" s="367">
        <v>427</v>
      </c>
      <c r="S65" s="367">
        <v>1041</v>
      </c>
      <c r="T65" s="367">
        <v>140</v>
      </c>
      <c r="U65" s="367">
        <v>37</v>
      </c>
      <c r="V65" s="367">
        <v>72</v>
      </c>
      <c r="W65" s="367">
        <v>161</v>
      </c>
      <c r="X65" s="367">
        <v>135</v>
      </c>
      <c r="Y65" s="367">
        <v>101</v>
      </c>
      <c r="Z65" s="367">
        <v>83</v>
      </c>
      <c r="AA65" s="368">
        <v>473</v>
      </c>
      <c r="AB65" s="369">
        <f t="shared" si="4"/>
        <v>6611</v>
      </c>
      <c r="AC65" s="371"/>
      <c r="AD65" s="371"/>
      <c r="AE65" s="371"/>
      <c r="AF65" s="371"/>
      <c r="AG65" s="372"/>
      <c r="AH65" s="371"/>
      <c r="AI65" s="371"/>
      <c r="AJ65" s="371"/>
      <c r="AL65" s="371"/>
      <c r="AM65" s="371"/>
      <c r="AN65" s="371"/>
      <c r="AO65" s="371"/>
      <c r="AP65" s="371"/>
      <c r="AQ65" s="371"/>
      <c r="AR65" s="371"/>
      <c r="AS65" s="371"/>
      <c r="AT65" s="371"/>
      <c r="AU65" s="371"/>
      <c r="AV65" s="371"/>
      <c r="AW65" s="371"/>
      <c r="AX65" s="371"/>
      <c r="AY65" s="371"/>
      <c r="AZ65" s="371"/>
      <c r="BA65" s="371"/>
      <c r="BB65" s="371"/>
      <c r="BC65" s="371"/>
      <c r="BD65" s="371"/>
      <c r="BE65" s="371"/>
      <c r="BF65" s="371"/>
      <c r="BG65" s="371"/>
      <c r="BH65" s="371"/>
      <c r="BI65" s="371"/>
      <c r="BJ65" s="371"/>
      <c r="BK65" s="371"/>
    </row>
    <row r="66" spans="1:63" s="337" customFormat="1" ht="14.25">
      <c r="A66" s="363">
        <f t="shared" si="5"/>
        <v>57</v>
      </c>
      <c r="B66" s="570" t="s">
        <v>152</v>
      </c>
      <c r="C66" s="370"/>
      <c r="D66" s="370"/>
      <c r="E66" s="367"/>
      <c r="F66" s="367"/>
      <c r="G66" s="367"/>
      <c r="H66" s="367"/>
      <c r="I66" s="367"/>
      <c r="J66" s="367"/>
      <c r="K66" s="367">
        <v>100</v>
      </c>
      <c r="L66" s="367"/>
      <c r="M66" s="367"/>
      <c r="N66" s="367">
        <v>560</v>
      </c>
      <c r="O66" s="367">
        <v>6696</v>
      </c>
      <c r="P66" s="367">
        <v>5960</v>
      </c>
      <c r="Q66" s="367">
        <v>987</v>
      </c>
      <c r="R66" s="367"/>
      <c r="S66" s="367">
        <v>207</v>
      </c>
      <c r="T66" s="367">
        <v>1622</v>
      </c>
      <c r="U66" s="367">
        <v>8403</v>
      </c>
      <c r="V66" s="367">
        <v>11771</v>
      </c>
      <c r="W66" s="367">
        <v>980</v>
      </c>
      <c r="X66" s="367">
        <v>532</v>
      </c>
      <c r="Y66" s="367">
        <v>761</v>
      </c>
      <c r="Z66" s="367">
        <v>8515.9</v>
      </c>
      <c r="AA66" s="368">
        <v>20152.800000000003</v>
      </c>
      <c r="AB66" s="369">
        <f t="shared" si="4"/>
        <v>67247.70000000001</v>
      </c>
      <c r="AC66" s="371"/>
      <c r="AD66" s="371"/>
      <c r="AE66" s="371"/>
      <c r="AF66" s="371"/>
      <c r="AG66" s="372"/>
      <c r="AH66" s="371"/>
      <c r="AI66" s="371"/>
      <c r="AJ66" s="371"/>
      <c r="AL66" s="371"/>
      <c r="AM66" s="371"/>
      <c r="AN66" s="371"/>
      <c r="AO66" s="371"/>
      <c r="AP66" s="371"/>
      <c r="AQ66" s="371"/>
      <c r="AR66" s="371"/>
      <c r="AS66" s="371"/>
      <c r="AT66" s="371"/>
      <c r="AU66" s="371"/>
      <c r="AV66" s="371"/>
      <c r="AW66" s="371"/>
      <c r="AX66" s="371"/>
      <c r="AY66" s="371"/>
      <c r="AZ66" s="371"/>
      <c r="BA66" s="371"/>
      <c r="BB66" s="371"/>
      <c r="BC66" s="371"/>
      <c r="BD66" s="371"/>
      <c r="BE66" s="371"/>
      <c r="BF66" s="371"/>
      <c r="BG66" s="371"/>
      <c r="BH66" s="371"/>
      <c r="BI66" s="371"/>
      <c r="BJ66" s="371"/>
      <c r="BK66" s="371"/>
    </row>
    <row r="67" spans="1:63" s="337" customFormat="1" ht="14.25">
      <c r="A67" s="363">
        <f>+A66+1</f>
        <v>58</v>
      </c>
      <c r="B67" s="570" t="s">
        <v>304</v>
      </c>
      <c r="C67" s="370"/>
      <c r="D67" s="370"/>
      <c r="E67" s="367"/>
      <c r="F67" s="367"/>
      <c r="G67" s="367"/>
      <c r="H67" s="367"/>
      <c r="I67" s="367"/>
      <c r="J67" s="364"/>
      <c r="K67" s="364"/>
      <c r="L67" s="364"/>
      <c r="M67" s="367"/>
      <c r="N67" s="367"/>
      <c r="O67" s="367"/>
      <c r="P67" s="367">
        <v>2547</v>
      </c>
      <c r="Q67" s="367">
        <v>1984</v>
      </c>
      <c r="R67" s="367">
        <v>2210</v>
      </c>
      <c r="S67" s="367">
        <v>6114</v>
      </c>
      <c r="T67" s="367">
        <v>4773</v>
      </c>
      <c r="U67" s="367">
        <v>3739</v>
      </c>
      <c r="V67" s="367">
        <v>2443</v>
      </c>
      <c r="W67" s="367">
        <v>7550</v>
      </c>
      <c r="X67" s="367">
        <v>3946</v>
      </c>
      <c r="Y67" s="367">
        <v>2860</v>
      </c>
      <c r="Z67" s="367">
        <v>1730</v>
      </c>
      <c r="AA67" s="368">
        <v>52511</v>
      </c>
      <c r="AB67" s="369">
        <f t="shared" si="4"/>
        <v>92407</v>
      </c>
      <c r="AC67" s="371"/>
      <c r="AD67" s="371"/>
      <c r="AE67" s="371"/>
      <c r="AF67" s="371"/>
      <c r="AG67" s="372"/>
      <c r="AH67" s="371"/>
      <c r="AI67" s="371"/>
      <c r="AJ67" s="371"/>
      <c r="AL67" s="371"/>
      <c r="AM67" s="371"/>
      <c r="AN67" s="371"/>
      <c r="AO67" s="371"/>
      <c r="AP67" s="371"/>
      <c r="AQ67" s="371"/>
      <c r="AR67" s="371"/>
      <c r="AS67" s="371"/>
      <c r="AT67" s="371"/>
      <c r="AU67" s="371"/>
      <c r="AV67" s="371"/>
      <c r="AW67" s="371"/>
      <c r="AX67" s="371"/>
      <c r="AY67" s="371"/>
      <c r="AZ67" s="371"/>
      <c r="BA67" s="371"/>
      <c r="BB67" s="371"/>
      <c r="BC67" s="371"/>
      <c r="BD67" s="371"/>
      <c r="BE67" s="371"/>
      <c r="BF67" s="371"/>
      <c r="BG67" s="371"/>
      <c r="BH67" s="371"/>
      <c r="BI67" s="371"/>
      <c r="BJ67" s="371"/>
      <c r="BK67" s="371"/>
    </row>
    <row r="68" spans="1:63" s="337" customFormat="1" ht="14.25">
      <c r="A68" s="363">
        <f t="shared" si="5"/>
        <v>59</v>
      </c>
      <c r="B68" s="570" t="s">
        <v>153</v>
      </c>
      <c r="C68" s="370"/>
      <c r="D68" s="370"/>
      <c r="E68" s="367"/>
      <c r="F68" s="367"/>
      <c r="G68" s="367"/>
      <c r="H68" s="367">
        <v>14</v>
      </c>
      <c r="I68" s="367">
        <v>144</v>
      </c>
      <c r="J68" s="364">
        <v>667</v>
      </c>
      <c r="K68" s="364">
        <v>363</v>
      </c>
      <c r="L68" s="367">
        <v>379</v>
      </c>
      <c r="M68" s="367">
        <v>3286</v>
      </c>
      <c r="N68" s="367">
        <v>12544</v>
      </c>
      <c r="O68" s="367">
        <v>4375</v>
      </c>
      <c r="P68" s="367"/>
      <c r="Q68" s="367">
        <v>231</v>
      </c>
      <c r="R68" s="367">
        <v>38.64</v>
      </c>
      <c r="S68" s="367"/>
      <c r="T68" s="367"/>
      <c r="U68" s="367"/>
      <c r="V68" s="367"/>
      <c r="W68" s="367"/>
      <c r="X68" s="367"/>
      <c r="Y68" s="367"/>
      <c r="Z68" s="367"/>
      <c r="AA68" s="368"/>
      <c r="AB68" s="369">
        <f t="shared" si="4"/>
        <v>22041.64</v>
      </c>
      <c r="AC68" s="371"/>
      <c r="AD68" s="371"/>
      <c r="AE68" s="371"/>
      <c r="AF68" s="371"/>
      <c r="AG68" s="372"/>
      <c r="AH68" s="371"/>
      <c r="AI68" s="371"/>
      <c r="AJ68" s="371"/>
      <c r="AL68" s="371"/>
      <c r="AM68" s="371"/>
      <c r="AN68" s="371"/>
      <c r="AO68" s="371"/>
      <c r="AP68" s="371"/>
      <c r="AQ68" s="371"/>
      <c r="AR68" s="371"/>
      <c r="AS68" s="371"/>
      <c r="AT68" s="371"/>
      <c r="AU68" s="371"/>
      <c r="AV68" s="371"/>
      <c r="AW68" s="371"/>
      <c r="AX68" s="371"/>
      <c r="AY68" s="371"/>
      <c r="AZ68" s="371"/>
      <c r="BA68" s="371"/>
      <c r="BB68" s="371"/>
      <c r="BC68" s="371"/>
      <c r="BD68" s="371"/>
      <c r="BE68" s="371"/>
      <c r="BF68" s="371"/>
      <c r="BG68" s="371"/>
      <c r="BH68" s="371"/>
      <c r="BI68" s="371"/>
      <c r="BJ68" s="371"/>
      <c r="BK68" s="371"/>
    </row>
    <row r="69" spans="1:63" s="337" customFormat="1" ht="14.25">
      <c r="A69" s="363">
        <f t="shared" si="5"/>
        <v>60</v>
      </c>
      <c r="B69" s="570" t="s">
        <v>300</v>
      </c>
      <c r="C69" s="370"/>
      <c r="D69" s="370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>
        <v>1192.7752</v>
      </c>
      <c r="Y69" s="367"/>
      <c r="Z69" s="367"/>
      <c r="AA69" s="368"/>
      <c r="AB69" s="369">
        <f t="shared" si="4"/>
        <v>1192.7752</v>
      </c>
      <c r="AC69" s="371"/>
      <c r="AD69" s="371"/>
      <c r="AE69" s="371"/>
      <c r="AF69" s="371"/>
      <c r="AG69" s="372"/>
      <c r="AH69" s="371"/>
      <c r="AI69" s="371"/>
      <c r="AJ69" s="371"/>
      <c r="AL69" s="371"/>
      <c r="AM69" s="371"/>
      <c r="AN69" s="371"/>
      <c r="AO69" s="371"/>
      <c r="AP69" s="371"/>
      <c r="AQ69" s="371"/>
      <c r="AR69" s="371"/>
      <c r="AS69" s="371"/>
      <c r="AT69" s="371"/>
      <c r="AU69" s="371"/>
      <c r="AV69" s="371"/>
      <c r="AW69" s="371"/>
      <c r="AX69" s="371"/>
      <c r="AY69" s="371"/>
      <c r="AZ69" s="371"/>
      <c r="BA69" s="371"/>
      <c r="BB69" s="371"/>
      <c r="BC69" s="371"/>
      <c r="BD69" s="371"/>
      <c r="BE69" s="371"/>
      <c r="BF69" s="371"/>
      <c r="BG69" s="371"/>
      <c r="BH69" s="371"/>
      <c r="BI69" s="371"/>
      <c r="BJ69" s="371"/>
      <c r="BK69" s="371"/>
    </row>
    <row r="70" spans="1:63" s="337" customFormat="1" ht="14.25">
      <c r="A70" s="363">
        <f>+A69+1</f>
        <v>61</v>
      </c>
      <c r="B70" s="570" t="s">
        <v>154</v>
      </c>
      <c r="C70" s="370"/>
      <c r="D70" s="370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>
        <v>302</v>
      </c>
      <c r="P70" s="367">
        <v>153.6</v>
      </c>
      <c r="Q70" s="367">
        <v>195.2</v>
      </c>
      <c r="R70" s="367">
        <v>290</v>
      </c>
      <c r="S70" s="367">
        <v>80.6</v>
      </c>
      <c r="T70" s="367">
        <v>101</v>
      </c>
      <c r="U70" s="367">
        <v>40</v>
      </c>
      <c r="V70" s="367"/>
      <c r="W70" s="367"/>
      <c r="X70" s="367"/>
      <c r="Y70" s="367"/>
      <c r="Z70" s="367"/>
      <c r="AA70" s="368"/>
      <c r="AB70" s="369">
        <f t="shared" si="4"/>
        <v>1162.4</v>
      </c>
      <c r="AC70" s="371"/>
      <c r="AD70" s="371"/>
      <c r="AE70" s="371"/>
      <c r="AF70" s="371"/>
      <c r="AG70" s="372"/>
      <c r="AH70" s="371"/>
      <c r="AI70" s="371"/>
      <c r="AJ70" s="371"/>
      <c r="AL70" s="371"/>
      <c r="AM70" s="371"/>
      <c r="AN70" s="371"/>
      <c r="AO70" s="371"/>
      <c r="AP70" s="371"/>
      <c r="AQ70" s="371"/>
      <c r="AR70" s="371"/>
      <c r="AS70" s="371"/>
      <c r="AT70" s="371"/>
      <c r="AU70" s="371"/>
      <c r="AV70" s="371"/>
      <c r="AW70" s="371"/>
      <c r="AX70" s="371"/>
      <c r="AY70" s="371"/>
      <c r="AZ70" s="371"/>
      <c r="BA70" s="371"/>
      <c r="BB70" s="371"/>
      <c r="BC70" s="371"/>
      <c r="BD70" s="371"/>
      <c r="BE70" s="371"/>
      <c r="BF70" s="371"/>
      <c r="BG70" s="371"/>
      <c r="BH70" s="371"/>
      <c r="BI70" s="371"/>
      <c r="BJ70" s="371"/>
      <c r="BK70" s="371"/>
    </row>
    <row r="71" spans="1:63" s="337" customFormat="1" ht="14.25">
      <c r="A71" s="363">
        <f t="shared" si="5"/>
        <v>62</v>
      </c>
      <c r="B71" s="570" t="s">
        <v>155</v>
      </c>
      <c r="C71" s="370"/>
      <c r="D71" s="370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>
        <v>7776.99</v>
      </c>
      <c r="Y71" s="367">
        <v>58466</v>
      </c>
      <c r="Z71" s="367">
        <v>57787</v>
      </c>
      <c r="AA71" s="368">
        <v>2845.1</v>
      </c>
      <c r="AB71" s="369">
        <f t="shared" si="4"/>
        <v>126875.09000000001</v>
      </c>
      <c r="AC71" s="371"/>
      <c r="AD71" s="371"/>
      <c r="AE71" s="371"/>
      <c r="AF71" s="371"/>
      <c r="AG71" s="372"/>
      <c r="AH71" s="371"/>
      <c r="AI71" s="371"/>
      <c r="AJ71" s="371"/>
      <c r="AL71" s="371"/>
      <c r="AM71" s="371"/>
      <c r="AN71" s="371"/>
      <c r="AO71" s="371"/>
      <c r="AP71" s="371"/>
      <c r="AQ71" s="371"/>
      <c r="AR71" s="371"/>
      <c r="AS71" s="371"/>
      <c r="AT71" s="371"/>
      <c r="AU71" s="371"/>
      <c r="AV71" s="371"/>
      <c r="AW71" s="371"/>
      <c r="AX71" s="371"/>
      <c r="AY71" s="371"/>
      <c r="AZ71" s="371"/>
      <c r="BA71" s="371"/>
      <c r="BB71" s="371"/>
      <c r="BC71" s="371"/>
      <c r="BD71" s="371"/>
      <c r="BE71" s="371"/>
      <c r="BF71" s="371"/>
      <c r="BG71" s="371"/>
      <c r="BH71" s="371"/>
      <c r="BI71" s="371"/>
      <c r="BJ71" s="371"/>
      <c r="BK71" s="371"/>
    </row>
    <row r="72" spans="1:63" s="337" customFormat="1" ht="14.25">
      <c r="A72" s="363">
        <f t="shared" si="5"/>
        <v>63</v>
      </c>
      <c r="B72" s="570" t="s">
        <v>156</v>
      </c>
      <c r="C72" s="370"/>
      <c r="D72" s="370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>
        <v>305</v>
      </c>
      <c r="P72" s="367"/>
      <c r="Q72" s="367">
        <v>3062</v>
      </c>
      <c r="R72" s="367">
        <v>850</v>
      </c>
      <c r="S72" s="367">
        <v>2698</v>
      </c>
      <c r="T72" s="367">
        <v>3688</v>
      </c>
      <c r="U72" s="367">
        <v>1656</v>
      </c>
      <c r="V72" s="367">
        <v>6809</v>
      </c>
      <c r="W72" s="367">
        <v>2259</v>
      </c>
      <c r="X72" s="367">
        <v>6236</v>
      </c>
      <c r="Y72" s="367">
        <v>3570</v>
      </c>
      <c r="Z72" s="367">
        <v>10266</v>
      </c>
      <c r="AA72" s="368">
        <v>2796.34</v>
      </c>
      <c r="AB72" s="369">
        <f t="shared" si="4"/>
        <v>44195.34</v>
      </c>
      <c r="AC72" s="371"/>
      <c r="AD72" s="371"/>
      <c r="AE72" s="371"/>
      <c r="AF72" s="371"/>
      <c r="AG72" s="372"/>
      <c r="AH72" s="371"/>
      <c r="AI72" s="371"/>
      <c r="AJ72" s="371"/>
      <c r="AL72" s="371"/>
      <c r="AM72" s="371"/>
      <c r="AN72" s="371"/>
      <c r="AO72" s="371"/>
      <c r="AP72" s="371"/>
      <c r="AQ72" s="371"/>
      <c r="AR72" s="371"/>
      <c r="AS72" s="371"/>
      <c r="AT72" s="371"/>
      <c r="AU72" s="371"/>
      <c r="AV72" s="371"/>
      <c r="AW72" s="371"/>
      <c r="AX72" s="371"/>
      <c r="AY72" s="371"/>
      <c r="AZ72" s="371"/>
      <c r="BA72" s="371"/>
      <c r="BB72" s="371"/>
      <c r="BC72" s="371"/>
      <c r="BD72" s="371"/>
      <c r="BE72" s="371"/>
      <c r="BF72" s="371"/>
      <c r="BG72" s="371"/>
      <c r="BH72" s="371"/>
      <c r="BI72" s="371"/>
      <c r="BJ72" s="371"/>
      <c r="BK72" s="371"/>
    </row>
    <row r="73" spans="1:63" s="337" customFormat="1" ht="15" thickBot="1">
      <c r="A73" s="363">
        <f>+A72+1</f>
        <v>64</v>
      </c>
      <c r="B73" s="570" t="s">
        <v>220</v>
      </c>
      <c r="C73" s="370"/>
      <c r="D73" s="370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7"/>
      <c r="S73" s="367"/>
      <c r="T73" s="367"/>
      <c r="U73" s="367"/>
      <c r="V73" s="367"/>
      <c r="W73" s="367"/>
      <c r="X73" s="367"/>
      <c r="Y73" s="367">
        <v>165391</v>
      </c>
      <c r="Z73" s="367"/>
      <c r="AA73" s="368"/>
      <c r="AB73" s="369">
        <f t="shared" si="4"/>
        <v>165391</v>
      </c>
      <c r="AC73" s="371"/>
      <c r="AD73" s="371"/>
      <c r="AE73" s="371"/>
      <c r="AF73" s="371"/>
      <c r="AG73" s="372"/>
      <c r="AH73" s="371"/>
      <c r="AI73" s="371"/>
      <c r="AJ73" s="371"/>
      <c r="AL73" s="371"/>
      <c r="AM73" s="371"/>
      <c r="AN73" s="371"/>
      <c r="AO73" s="371"/>
      <c r="AP73" s="371"/>
      <c r="AQ73" s="371"/>
      <c r="AR73" s="371"/>
      <c r="AS73" s="371"/>
      <c r="AT73" s="371"/>
      <c r="AU73" s="371"/>
      <c r="AV73" s="371"/>
      <c r="AW73" s="371"/>
      <c r="AX73" s="371"/>
      <c r="AY73" s="371"/>
      <c r="AZ73" s="371"/>
      <c r="BA73" s="371"/>
      <c r="BB73" s="371"/>
      <c r="BC73" s="371"/>
      <c r="BD73" s="371"/>
      <c r="BE73" s="371"/>
      <c r="BF73" s="371"/>
      <c r="BG73" s="371"/>
      <c r="BH73" s="371"/>
      <c r="BI73" s="371"/>
      <c r="BJ73" s="371"/>
      <c r="BK73" s="371"/>
    </row>
    <row r="74" spans="1:63" ht="15" thickBot="1">
      <c r="A74" s="1322" t="s">
        <v>0</v>
      </c>
      <c r="B74" s="1323"/>
      <c r="C74" s="378"/>
      <c r="D74" s="379"/>
      <c r="E74" s="380"/>
      <c r="F74" s="380"/>
      <c r="G74" s="381">
        <f>SUM(G10:G73)</f>
        <v>31478.89</v>
      </c>
      <c r="H74" s="381">
        <f aca="true" t="shared" si="6" ref="H74:AA74">SUM(H10:H73)</f>
        <v>7648.63</v>
      </c>
      <c r="I74" s="381">
        <f t="shared" si="6"/>
        <v>97751.45999999999</v>
      </c>
      <c r="J74" s="381">
        <f t="shared" si="6"/>
        <v>240206.95500000002</v>
      </c>
      <c r="K74" s="381">
        <f t="shared" si="6"/>
        <v>250809.128</v>
      </c>
      <c r="L74" s="380">
        <f t="shared" si="6"/>
        <v>280830.419</v>
      </c>
      <c r="M74" s="380">
        <f t="shared" si="6"/>
        <v>212402</v>
      </c>
      <c r="N74" s="380">
        <f t="shared" si="6"/>
        <v>33486.1</v>
      </c>
      <c r="O74" s="380">
        <f t="shared" si="6"/>
        <v>30042</v>
      </c>
      <c r="P74" s="381">
        <f t="shared" si="6"/>
        <v>20059.6</v>
      </c>
      <c r="Q74" s="381">
        <f t="shared" si="6"/>
        <v>92565.2</v>
      </c>
      <c r="R74" s="381">
        <f t="shared" si="6"/>
        <v>139724.64</v>
      </c>
      <c r="S74" s="381">
        <f t="shared" si="6"/>
        <v>260376.6</v>
      </c>
      <c r="T74" s="380">
        <f t="shared" si="6"/>
        <v>244531</v>
      </c>
      <c r="U74" s="381">
        <f t="shared" si="6"/>
        <v>457017</v>
      </c>
      <c r="V74" s="381">
        <f t="shared" si="6"/>
        <v>359534</v>
      </c>
      <c r="W74" s="381">
        <f t="shared" si="6"/>
        <v>533520</v>
      </c>
      <c r="X74" s="381">
        <f t="shared" si="6"/>
        <v>1212192.3652000001</v>
      </c>
      <c r="Y74" s="380">
        <f t="shared" si="6"/>
        <v>1746138.66045</v>
      </c>
      <c r="Z74" s="536">
        <f t="shared" si="6"/>
        <v>1764618.7</v>
      </c>
      <c r="AA74" s="536">
        <f t="shared" si="6"/>
        <v>1767170.2798337028</v>
      </c>
      <c r="AB74" s="382">
        <f>SUM(AB10:AB73)</f>
        <v>9762928.627483701</v>
      </c>
      <c r="AC74" s="383"/>
      <c r="AD74" s="384"/>
      <c r="AE74" s="384"/>
      <c r="AF74" s="384"/>
      <c r="AG74" s="385"/>
      <c r="AH74" s="384"/>
      <c r="AI74" s="384"/>
      <c r="AJ74" s="384"/>
      <c r="AL74" s="384"/>
      <c r="AM74" s="384"/>
      <c r="AN74" s="384"/>
      <c r="AO74" s="384"/>
      <c r="AP74" s="384"/>
      <c r="AQ74" s="384"/>
      <c r="AR74" s="384"/>
      <c r="AS74" s="384"/>
      <c r="AT74" s="384"/>
      <c r="AU74" s="384"/>
      <c r="AV74" s="384"/>
      <c r="AW74" s="384"/>
      <c r="AX74" s="384"/>
      <c r="AY74" s="384"/>
      <c r="AZ74" s="384"/>
      <c r="BA74" s="384"/>
      <c r="BB74" s="384"/>
      <c r="BC74" s="384"/>
      <c r="BD74" s="384"/>
      <c r="BE74" s="384"/>
      <c r="BF74" s="384"/>
      <c r="BG74" s="384"/>
      <c r="BH74" s="384"/>
      <c r="BI74" s="384"/>
      <c r="BJ74" s="384"/>
      <c r="BK74" s="384"/>
    </row>
    <row r="75" spans="1:63" s="385" customFormat="1" ht="15" thickBot="1">
      <c r="A75" s="386"/>
      <c r="B75" s="386"/>
      <c r="C75" s="387"/>
      <c r="D75" s="387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  <c r="AA75" s="388"/>
      <c r="AB75" s="389"/>
      <c r="AC75" s="383"/>
      <c r="AD75" s="384"/>
      <c r="AE75" s="384"/>
      <c r="AF75" s="384"/>
      <c r="AH75" s="384"/>
      <c r="AI75" s="384"/>
      <c r="AJ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  <c r="AV75" s="384"/>
      <c r="AW75" s="384"/>
      <c r="AX75" s="384"/>
      <c r="AY75" s="384"/>
      <c r="AZ75" s="384"/>
      <c r="BA75" s="384"/>
      <c r="BB75" s="384"/>
      <c r="BC75" s="384"/>
      <c r="BD75" s="384"/>
      <c r="BE75" s="384"/>
      <c r="BF75" s="384"/>
      <c r="BG75" s="384"/>
      <c r="BH75" s="384"/>
      <c r="BI75" s="384"/>
      <c r="BJ75" s="384"/>
      <c r="BK75" s="384"/>
    </row>
    <row r="76" spans="1:63" ht="16.5" thickBot="1">
      <c r="A76" s="1073" t="s">
        <v>120</v>
      </c>
      <c r="B76" s="1074" t="s">
        <v>157</v>
      </c>
      <c r="C76" s="1069">
        <v>1990</v>
      </c>
      <c r="D76" s="1070">
        <v>1991</v>
      </c>
      <c r="E76" s="1070">
        <v>1992</v>
      </c>
      <c r="F76" s="1070">
        <v>1993</v>
      </c>
      <c r="G76" s="1070">
        <v>1994</v>
      </c>
      <c r="H76" s="1070">
        <v>1995</v>
      </c>
      <c r="I76" s="1070">
        <v>1996</v>
      </c>
      <c r="J76" s="1070">
        <v>1997</v>
      </c>
      <c r="K76" s="1070">
        <v>1998</v>
      </c>
      <c r="L76" s="1070">
        <v>1999</v>
      </c>
      <c r="M76" s="1069">
        <v>2000</v>
      </c>
      <c r="N76" s="1069">
        <v>2001</v>
      </c>
      <c r="O76" s="1069">
        <v>2002</v>
      </c>
      <c r="P76" s="1069">
        <v>2003</v>
      </c>
      <c r="Q76" s="1069">
        <v>2004</v>
      </c>
      <c r="R76" s="1069">
        <v>2005</v>
      </c>
      <c r="S76" s="1069">
        <v>2006</v>
      </c>
      <c r="T76" s="1069">
        <v>2007</v>
      </c>
      <c r="U76" s="1069">
        <v>2008</v>
      </c>
      <c r="V76" s="1071">
        <v>2009</v>
      </c>
      <c r="W76" s="1070">
        <v>2010</v>
      </c>
      <c r="X76" s="1070">
        <v>2011</v>
      </c>
      <c r="Y76" s="1070">
        <v>2012</v>
      </c>
      <c r="Z76" s="1070">
        <v>2013</v>
      </c>
      <c r="AA76" s="1070">
        <v>2014</v>
      </c>
      <c r="AB76" s="1072" t="s">
        <v>0</v>
      </c>
      <c r="AC76" s="384"/>
      <c r="AD76" s="384"/>
      <c r="AE76" s="384"/>
      <c r="AF76" s="384"/>
      <c r="AG76" s="385"/>
      <c r="AH76" s="384"/>
      <c r="AI76" s="384"/>
      <c r="AJ76" s="384"/>
      <c r="AL76" s="384"/>
      <c r="AM76" s="384"/>
      <c r="AN76" s="384"/>
      <c r="AO76" s="384"/>
      <c r="AP76" s="384"/>
      <c r="AQ76" s="384"/>
      <c r="AR76" s="384"/>
      <c r="AS76" s="384"/>
      <c r="AT76" s="384"/>
      <c r="AU76" s="384"/>
      <c r="AV76" s="384"/>
      <c r="AW76" s="384"/>
      <c r="AX76" s="384"/>
      <c r="AY76" s="384"/>
      <c r="AZ76" s="384"/>
      <c r="BA76" s="384"/>
      <c r="BB76" s="384"/>
      <c r="BC76" s="384"/>
      <c r="BD76" s="384"/>
      <c r="BE76" s="384"/>
      <c r="BF76" s="384"/>
      <c r="BG76" s="384"/>
      <c r="BH76" s="384"/>
      <c r="BI76" s="384"/>
      <c r="BJ76" s="384"/>
      <c r="BK76" s="384"/>
    </row>
    <row r="77" spans="1:63" s="337" customFormat="1" ht="14.25">
      <c r="A77" s="355">
        <v>1</v>
      </c>
      <c r="B77" s="356" t="s">
        <v>246</v>
      </c>
      <c r="C77" s="390"/>
      <c r="D77" s="390"/>
      <c r="E77" s="391"/>
      <c r="F77" s="391"/>
      <c r="G77" s="391"/>
      <c r="H77" s="391"/>
      <c r="I77" s="391"/>
      <c r="J77" s="391"/>
      <c r="K77" s="391"/>
      <c r="L77" s="391"/>
      <c r="M77" s="391"/>
      <c r="N77" s="358">
        <v>10000</v>
      </c>
      <c r="O77" s="358"/>
      <c r="P77" s="358"/>
      <c r="Q77" s="358"/>
      <c r="R77" s="358"/>
      <c r="S77" s="358"/>
      <c r="T77" s="358"/>
      <c r="U77" s="358"/>
      <c r="V77" s="358">
        <v>175572</v>
      </c>
      <c r="W77" s="358">
        <v>107319</v>
      </c>
      <c r="X77" s="359">
        <v>31802</v>
      </c>
      <c r="Y77" s="359">
        <v>290270</v>
      </c>
      <c r="Z77" s="359">
        <v>72287.4</v>
      </c>
      <c r="AA77" s="359"/>
      <c r="AB77" s="360">
        <f aca="true" t="shared" si="7" ref="AB77:AB87">SUM(H77:AA77)</f>
        <v>687250.4</v>
      </c>
      <c r="AC77" s="371"/>
      <c r="AD77" s="371"/>
      <c r="AE77" s="371"/>
      <c r="AF77" s="371"/>
      <c r="AG77" s="372"/>
      <c r="AH77" s="371"/>
      <c r="AI77" s="371"/>
      <c r="AJ77" s="371"/>
      <c r="AL77" s="371"/>
      <c r="AM77" s="371"/>
      <c r="AN77" s="371"/>
      <c r="AO77" s="371"/>
      <c r="AP77" s="371"/>
      <c r="AQ77" s="371"/>
      <c r="AR77" s="371"/>
      <c r="AS77" s="371"/>
      <c r="AT77" s="371"/>
      <c r="AU77" s="371"/>
      <c r="AV77" s="371"/>
      <c r="AW77" s="371"/>
      <c r="AX77" s="371"/>
      <c r="AY77" s="371"/>
      <c r="AZ77" s="371"/>
      <c r="BA77" s="371"/>
      <c r="BB77" s="371"/>
      <c r="BC77" s="371"/>
      <c r="BD77" s="371"/>
      <c r="BE77" s="371"/>
      <c r="BF77" s="371"/>
      <c r="BG77" s="371"/>
      <c r="BH77" s="371"/>
      <c r="BI77" s="371"/>
      <c r="BJ77" s="371"/>
      <c r="BK77" s="371"/>
    </row>
    <row r="78" spans="1:63" s="337" customFormat="1" ht="14.25">
      <c r="A78" s="363">
        <f aca="true" t="shared" si="8" ref="A78:A87">A77+1</f>
        <v>2</v>
      </c>
      <c r="B78" s="364" t="s">
        <v>158</v>
      </c>
      <c r="C78" s="365"/>
      <c r="D78" s="365"/>
      <c r="E78" s="366"/>
      <c r="F78" s="366"/>
      <c r="G78" s="366"/>
      <c r="H78" s="366"/>
      <c r="I78" s="366"/>
      <c r="J78" s="366"/>
      <c r="K78" s="366"/>
      <c r="L78" s="366"/>
      <c r="M78" s="366"/>
      <c r="N78" s="367"/>
      <c r="O78" s="367"/>
      <c r="P78" s="367"/>
      <c r="Q78" s="367"/>
      <c r="R78" s="367">
        <v>1394</v>
      </c>
      <c r="S78" s="367"/>
      <c r="T78" s="367"/>
      <c r="U78" s="367"/>
      <c r="V78" s="367">
        <v>3113</v>
      </c>
      <c r="W78" s="367">
        <v>0</v>
      </c>
      <c r="X78" s="368">
        <v>0</v>
      </c>
      <c r="Y78" s="368"/>
      <c r="Z78" s="368"/>
      <c r="AA78" s="368"/>
      <c r="AB78" s="369">
        <f t="shared" si="7"/>
        <v>4507</v>
      </c>
      <c r="AC78" s="371"/>
      <c r="AD78" s="371"/>
      <c r="AE78" s="371"/>
      <c r="AF78" s="371"/>
      <c r="AG78" s="372"/>
      <c r="AH78" s="371"/>
      <c r="AI78" s="371"/>
      <c r="AJ78" s="371"/>
      <c r="AL78" s="371"/>
      <c r="AM78" s="371"/>
      <c r="AN78" s="371"/>
      <c r="AO78" s="371"/>
      <c r="AP78" s="371"/>
      <c r="AQ78" s="371"/>
      <c r="AR78" s="371"/>
      <c r="AS78" s="371"/>
      <c r="AT78" s="371"/>
      <c r="AU78" s="371"/>
      <c r="AV78" s="371"/>
      <c r="AW78" s="371"/>
      <c r="AX78" s="371"/>
      <c r="AY78" s="371"/>
      <c r="AZ78" s="371"/>
      <c r="BA78" s="371"/>
      <c r="BB78" s="371"/>
      <c r="BC78" s="371"/>
      <c r="BD78" s="371"/>
      <c r="BE78" s="371"/>
      <c r="BF78" s="371"/>
      <c r="BG78" s="371"/>
      <c r="BH78" s="371"/>
      <c r="BI78" s="371"/>
      <c r="BJ78" s="371"/>
      <c r="BK78" s="371"/>
    </row>
    <row r="79" spans="1:63" s="337" customFormat="1" ht="14.25">
      <c r="A79" s="363">
        <f t="shared" si="8"/>
        <v>3</v>
      </c>
      <c r="B79" s="364" t="s">
        <v>159</v>
      </c>
      <c r="C79" s="365"/>
      <c r="D79" s="365"/>
      <c r="E79" s="366"/>
      <c r="F79" s="366"/>
      <c r="G79" s="366"/>
      <c r="H79" s="366"/>
      <c r="I79" s="366"/>
      <c r="J79" s="366"/>
      <c r="K79" s="366"/>
      <c r="L79" s="366"/>
      <c r="M79" s="366"/>
      <c r="N79" s="367">
        <v>13513</v>
      </c>
      <c r="O79" s="367"/>
      <c r="P79" s="367">
        <v>341</v>
      </c>
      <c r="Q79" s="367">
        <v>9017</v>
      </c>
      <c r="R79" s="367">
        <v>92</v>
      </c>
      <c r="S79" s="367">
        <v>1179</v>
      </c>
      <c r="T79" s="367">
        <v>3612</v>
      </c>
      <c r="U79" s="367">
        <v>3248</v>
      </c>
      <c r="V79" s="367">
        <v>271</v>
      </c>
      <c r="W79" s="367">
        <v>0</v>
      </c>
      <c r="X79" s="368">
        <v>0</v>
      </c>
      <c r="Y79" s="368"/>
      <c r="Z79" s="368"/>
      <c r="AA79" s="368"/>
      <c r="AB79" s="369">
        <f t="shared" si="7"/>
        <v>31273</v>
      </c>
      <c r="AC79" s="371"/>
      <c r="AD79" s="371"/>
      <c r="AE79" s="371"/>
      <c r="AF79" s="371"/>
      <c r="AG79" s="372"/>
      <c r="AH79" s="371"/>
      <c r="AI79" s="371"/>
      <c r="AJ79" s="371"/>
      <c r="AL79" s="371"/>
      <c r="AM79" s="371"/>
      <c r="AN79" s="371"/>
      <c r="AO79" s="371"/>
      <c r="AP79" s="371"/>
      <c r="AQ79" s="371"/>
      <c r="AR79" s="371"/>
      <c r="AS79" s="371"/>
      <c r="AT79" s="371"/>
      <c r="AU79" s="371"/>
      <c r="AV79" s="371"/>
      <c r="AW79" s="371"/>
      <c r="AX79" s="371"/>
      <c r="AY79" s="371"/>
      <c r="AZ79" s="371"/>
      <c r="BA79" s="371"/>
      <c r="BB79" s="371"/>
      <c r="BC79" s="371"/>
      <c r="BD79" s="371"/>
      <c r="BE79" s="371"/>
      <c r="BF79" s="371"/>
      <c r="BG79" s="371"/>
      <c r="BH79" s="371"/>
      <c r="BI79" s="371"/>
      <c r="BJ79" s="371"/>
      <c r="BK79" s="371"/>
    </row>
    <row r="80" spans="1:63" s="337" customFormat="1" ht="14.25">
      <c r="A80" s="363">
        <f t="shared" si="8"/>
        <v>4</v>
      </c>
      <c r="B80" s="364" t="s">
        <v>160</v>
      </c>
      <c r="C80" s="365"/>
      <c r="D80" s="365"/>
      <c r="E80" s="366"/>
      <c r="F80" s="366"/>
      <c r="G80" s="366"/>
      <c r="H80" s="366"/>
      <c r="I80" s="366"/>
      <c r="J80" s="366"/>
      <c r="K80" s="366"/>
      <c r="L80" s="366"/>
      <c r="M80" s="366"/>
      <c r="N80" s="367"/>
      <c r="O80" s="367"/>
      <c r="P80" s="367"/>
      <c r="Q80" s="367"/>
      <c r="R80" s="367">
        <v>5549.29</v>
      </c>
      <c r="S80" s="367">
        <v>217.14</v>
      </c>
      <c r="T80" s="367">
        <v>40</v>
      </c>
      <c r="U80" s="367">
        <v>495</v>
      </c>
      <c r="V80" s="367">
        <v>850</v>
      </c>
      <c r="W80" s="367">
        <v>0</v>
      </c>
      <c r="X80" s="368">
        <v>0</v>
      </c>
      <c r="Y80" s="368"/>
      <c r="Z80" s="368"/>
      <c r="AA80" s="368"/>
      <c r="AB80" s="369">
        <f t="shared" si="7"/>
        <v>7151.43</v>
      </c>
      <c r="AC80" s="371"/>
      <c r="AD80" s="371"/>
      <c r="AE80" s="371"/>
      <c r="AF80" s="371"/>
      <c r="AG80" s="372"/>
      <c r="AH80" s="371"/>
      <c r="AI80" s="371"/>
      <c r="AJ80" s="371"/>
      <c r="AL80" s="371"/>
      <c r="AM80" s="371"/>
      <c r="AN80" s="371"/>
      <c r="AO80" s="371"/>
      <c r="AP80" s="371"/>
      <c r="AQ80" s="371"/>
      <c r="AR80" s="371"/>
      <c r="AS80" s="371"/>
      <c r="AT80" s="371"/>
      <c r="AU80" s="371"/>
      <c r="AV80" s="371"/>
      <c r="AW80" s="371"/>
      <c r="AX80" s="371"/>
      <c r="AY80" s="371"/>
      <c r="AZ80" s="371"/>
      <c r="BA80" s="371"/>
      <c r="BB80" s="371"/>
      <c r="BC80" s="371"/>
      <c r="BD80" s="371"/>
      <c r="BE80" s="371"/>
      <c r="BF80" s="371"/>
      <c r="BG80" s="371"/>
      <c r="BH80" s="371"/>
      <c r="BI80" s="371"/>
      <c r="BJ80" s="371"/>
      <c r="BK80" s="371"/>
    </row>
    <row r="81" spans="1:36" s="337" customFormat="1" ht="14.25">
      <c r="A81" s="363">
        <f t="shared" si="8"/>
        <v>5</v>
      </c>
      <c r="B81" s="364" t="s">
        <v>161</v>
      </c>
      <c r="C81" s="370"/>
      <c r="D81" s="370"/>
      <c r="E81" s="367"/>
      <c r="F81" s="367"/>
      <c r="G81" s="367"/>
      <c r="H81" s="367"/>
      <c r="I81" s="367"/>
      <c r="J81" s="364"/>
      <c r="K81" s="367">
        <v>13488</v>
      </c>
      <c r="L81" s="367">
        <v>115580</v>
      </c>
      <c r="M81" s="367">
        <v>50111</v>
      </c>
      <c r="N81" s="367">
        <v>22851</v>
      </c>
      <c r="O81" s="367">
        <v>2376</v>
      </c>
      <c r="P81" s="367">
        <v>1170</v>
      </c>
      <c r="Q81" s="367">
        <v>75</v>
      </c>
      <c r="R81" s="367">
        <v>184</v>
      </c>
      <c r="S81" s="367">
        <v>131.97</v>
      </c>
      <c r="T81" s="367">
        <v>17</v>
      </c>
      <c r="U81" s="367">
        <v>10254</v>
      </c>
      <c r="V81" s="367">
        <v>56789</v>
      </c>
      <c r="W81" s="367">
        <v>166210</v>
      </c>
      <c r="X81" s="368">
        <v>196365</v>
      </c>
      <c r="Y81" s="368">
        <v>133506</v>
      </c>
      <c r="Z81" s="368">
        <v>80297</v>
      </c>
      <c r="AA81" s="368">
        <v>194709.96</v>
      </c>
      <c r="AB81" s="369">
        <f t="shared" si="7"/>
        <v>1044114.9299999999</v>
      </c>
      <c r="AC81" s="371"/>
      <c r="AD81" s="372"/>
      <c r="AE81" s="372"/>
      <c r="AF81" s="372"/>
      <c r="AG81" s="372"/>
      <c r="AH81" s="372"/>
      <c r="AI81" s="372"/>
      <c r="AJ81" s="372"/>
    </row>
    <row r="82" spans="1:36" s="337" customFormat="1" ht="14.25">
      <c r="A82" s="363">
        <f t="shared" si="8"/>
        <v>6</v>
      </c>
      <c r="B82" s="364" t="s">
        <v>162</v>
      </c>
      <c r="C82" s="370"/>
      <c r="D82" s="370"/>
      <c r="E82" s="367"/>
      <c r="F82" s="367"/>
      <c r="G82" s="367"/>
      <c r="H82" s="367"/>
      <c r="I82" s="367"/>
      <c r="J82" s="364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367"/>
      <c r="V82" s="367">
        <v>53</v>
      </c>
      <c r="W82" s="367">
        <v>14</v>
      </c>
      <c r="X82" s="368">
        <v>27</v>
      </c>
      <c r="Y82" s="368"/>
      <c r="Z82" s="368"/>
      <c r="AA82" s="368"/>
      <c r="AB82" s="369">
        <f t="shared" si="7"/>
        <v>94</v>
      </c>
      <c r="AC82" s="372"/>
      <c r="AD82" s="372"/>
      <c r="AE82" s="372"/>
      <c r="AF82" s="372"/>
      <c r="AG82" s="372"/>
      <c r="AH82" s="372"/>
      <c r="AI82" s="372"/>
      <c r="AJ82" s="372"/>
    </row>
    <row r="83" spans="1:36" s="337" customFormat="1" ht="14.25">
      <c r="A83" s="363">
        <f t="shared" si="8"/>
        <v>7</v>
      </c>
      <c r="B83" s="364" t="s">
        <v>163</v>
      </c>
      <c r="C83" s="370"/>
      <c r="D83" s="370"/>
      <c r="E83" s="367"/>
      <c r="F83" s="367"/>
      <c r="G83" s="367"/>
      <c r="H83" s="367"/>
      <c r="I83" s="367"/>
      <c r="J83" s="364"/>
      <c r="K83" s="367"/>
      <c r="L83" s="367"/>
      <c r="M83" s="367"/>
      <c r="N83" s="367"/>
      <c r="O83" s="367">
        <v>693</v>
      </c>
      <c r="P83" s="367">
        <v>15.7</v>
      </c>
      <c r="Q83" s="367"/>
      <c r="R83" s="367"/>
      <c r="S83" s="367"/>
      <c r="T83" s="367"/>
      <c r="U83" s="367"/>
      <c r="V83" s="367">
        <v>509</v>
      </c>
      <c r="W83" s="367">
        <v>162</v>
      </c>
      <c r="X83" s="368">
        <v>126</v>
      </c>
      <c r="Y83" s="368">
        <v>5</v>
      </c>
      <c r="Z83" s="368">
        <v>7</v>
      </c>
      <c r="AA83" s="368">
        <v>281.5</v>
      </c>
      <c r="AB83" s="369">
        <f t="shared" si="7"/>
        <v>1799.2</v>
      </c>
      <c r="AC83" s="372"/>
      <c r="AD83" s="372"/>
      <c r="AE83" s="372"/>
      <c r="AF83" s="372"/>
      <c r="AG83" s="372"/>
      <c r="AH83" s="372"/>
      <c r="AI83" s="372"/>
      <c r="AJ83" s="372"/>
    </row>
    <row r="84" spans="1:36" s="337" customFormat="1" ht="14.25">
      <c r="A84" s="363">
        <f t="shared" si="8"/>
        <v>8</v>
      </c>
      <c r="B84" s="364" t="s">
        <v>164</v>
      </c>
      <c r="C84" s="370"/>
      <c r="D84" s="370"/>
      <c r="E84" s="367"/>
      <c r="F84" s="367"/>
      <c r="G84" s="367"/>
      <c r="H84" s="367"/>
      <c r="I84" s="367"/>
      <c r="J84" s="364"/>
      <c r="K84" s="367"/>
      <c r="L84" s="367"/>
      <c r="M84" s="367"/>
      <c r="N84" s="367"/>
      <c r="O84" s="367">
        <v>30275</v>
      </c>
      <c r="P84" s="367">
        <v>102</v>
      </c>
      <c r="Q84" s="367">
        <v>18</v>
      </c>
      <c r="R84" s="367">
        <v>47</v>
      </c>
      <c r="S84" s="367">
        <v>247</v>
      </c>
      <c r="T84" s="367">
        <v>25.8</v>
      </c>
      <c r="U84" s="367">
        <v>33</v>
      </c>
      <c r="V84" s="367">
        <v>20</v>
      </c>
      <c r="W84" s="367">
        <v>3521</v>
      </c>
      <c r="X84" s="368">
        <v>56</v>
      </c>
      <c r="Y84" s="368">
        <v>141</v>
      </c>
      <c r="Z84" s="368">
        <v>1715</v>
      </c>
      <c r="AA84" s="368">
        <v>1580.57</v>
      </c>
      <c r="AB84" s="369">
        <f t="shared" si="7"/>
        <v>37781.37</v>
      </c>
      <c r="AC84" s="372"/>
      <c r="AD84" s="372"/>
      <c r="AE84" s="372"/>
      <c r="AF84" s="372"/>
      <c r="AG84" s="372"/>
      <c r="AH84" s="372"/>
      <c r="AI84" s="372"/>
      <c r="AJ84" s="372"/>
    </row>
    <row r="85" spans="1:36" s="337" customFormat="1" ht="14.25">
      <c r="A85" s="363">
        <f t="shared" si="8"/>
        <v>9</v>
      </c>
      <c r="B85" s="364" t="s">
        <v>165</v>
      </c>
      <c r="C85" s="370"/>
      <c r="D85" s="370"/>
      <c r="E85" s="367"/>
      <c r="F85" s="367"/>
      <c r="G85" s="367"/>
      <c r="H85" s="367"/>
      <c r="I85" s="367"/>
      <c r="J85" s="364"/>
      <c r="K85" s="367"/>
      <c r="L85" s="367"/>
      <c r="M85" s="367"/>
      <c r="N85" s="367"/>
      <c r="O85" s="367"/>
      <c r="P85" s="367"/>
      <c r="Q85" s="367"/>
      <c r="R85" s="367">
        <v>3642.94</v>
      </c>
      <c r="S85" s="367">
        <v>1125.34</v>
      </c>
      <c r="T85" s="367">
        <v>21.1</v>
      </c>
      <c r="U85" s="367">
        <v>259</v>
      </c>
      <c r="V85" s="367">
        <v>275</v>
      </c>
      <c r="W85" s="367">
        <v>0</v>
      </c>
      <c r="X85" s="368">
        <v>0</v>
      </c>
      <c r="Y85" s="368"/>
      <c r="Z85" s="368"/>
      <c r="AA85" s="368"/>
      <c r="AB85" s="369">
        <f t="shared" si="7"/>
        <v>5323.38</v>
      </c>
      <c r="AC85" s="372"/>
      <c r="AD85" s="372"/>
      <c r="AE85" s="372"/>
      <c r="AF85" s="372"/>
      <c r="AG85" s="372"/>
      <c r="AH85" s="372"/>
      <c r="AI85" s="372"/>
      <c r="AJ85" s="372"/>
    </row>
    <row r="86" spans="1:36" s="337" customFormat="1" ht="14.25">
      <c r="A86" s="363">
        <f t="shared" si="8"/>
        <v>10</v>
      </c>
      <c r="B86" s="364" t="s">
        <v>221</v>
      </c>
      <c r="C86" s="370"/>
      <c r="D86" s="370"/>
      <c r="E86" s="367"/>
      <c r="F86" s="367"/>
      <c r="G86" s="367"/>
      <c r="H86" s="367"/>
      <c r="I86" s="367"/>
      <c r="J86" s="364"/>
      <c r="K86" s="367"/>
      <c r="L86" s="367"/>
      <c r="M86" s="367"/>
      <c r="N86" s="367"/>
      <c r="O86" s="367">
        <v>1380</v>
      </c>
      <c r="P86" s="367">
        <v>8535</v>
      </c>
      <c r="Q86" s="367">
        <v>12130</v>
      </c>
      <c r="R86" s="367">
        <v>8259</v>
      </c>
      <c r="S86" s="367">
        <v>13643</v>
      </c>
      <c r="T86" s="367">
        <v>65920</v>
      </c>
      <c r="U86" s="367">
        <v>28817</v>
      </c>
      <c r="V86" s="367">
        <v>16731</v>
      </c>
      <c r="W86" s="367">
        <v>54628</v>
      </c>
      <c r="X86" s="368">
        <v>50170</v>
      </c>
      <c r="Y86" s="368">
        <v>46299</v>
      </c>
      <c r="Z86" s="368">
        <v>33575</v>
      </c>
      <c r="AA86" s="368">
        <v>47169.200000000004</v>
      </c>
      <c r="AB86" s="369">
        <f t="shared" si="7"/>
        <v>387256.2</v>
      </c>
      <c r="AC86" s="372"/>
      <c r="AD86" s="372"/>
      <c r="AE86" s="372"/>
      <c r="AF86" s="372"/>
      <c r="AG86" s="372"/>
      <c r="AH86" s="372"/>
      <c r="AI86" s="372"/>
      <c r="AJ86" s="372"/>
    </row>
    <row r="87" spans="1:36" s="337" customFormat="1" ht="15" thickBot="1">
      <c r="A87" s="392">
        <f t="shared" si="8"/>
        <v>11</v>
      </c>
      <c r="B87" s="393" t="s">
        <v>222</v>
      </c>
      <c r="C87" s="394"/>
      <c r="D87" s="394"/>
      <c r="E87" s="395"/>
      <c r="F87" s="395"/>
      <c r="G87" s="395"/>
      <c r="H87" s="395"/>
      <c r="I87" s="395"/>
      <c r="J87" s="393"/>
      <c r="K87" s="393"/>
      <c r="L87" s="395">
        <v>23908.72</v>
      </c>
      <c r="M87" s="395">
        <v>52138</v>
      </c>
      <c r="N87" s="395">
        <v>12263</v>
      </c>
      <c r="O87" s="395">
        <v>2556</v>
      </c>
      <c r="P87" s="395">
        <v>2661.91</v>
      </c>
      <c r="Q87" s="395">
        <v>3125.86</v>
      </c>
      <c r="R87" s="395">
        <v>1465.67</v>
      </c>
      <c r="S87" s="395"/>
      <c r="T87" s="395"/>
      <c r="U87" s="395"/>
      <c r="V87" s="395">
        <v>180</v>
      </c>
      <c r="W87" s="395">
        <v>703</v>
      </c>
      <c r="X87" s="377">
        <v>0</v>
      </c>
      <c r="Y87" s="377">
        <v>49</v>
      </c>
      <c r="Z87" s="377">
        <v>532</v>
      </c>
      <c r="AA87" s="377">
        <v>271.21187999999995</v>
      </c>
      <c r="AB87" s="396">
        <f t="shared" si="7"/>
        <v>99854.37188</v>
      </c>
      <c r="AC87" s="372"/>
      <c r="AD87" s="372"/>
      <c r="AE87" s="372"/>
      <c r="AF87" s="372"/>
      <c r="AG87" s="372"/>
      <c r="AH87" s="372"/>
      <c r="AI87" s="372"/>
      <c r="AJ87" s="372"/>
    </row>
    <row r="88" spans="1:36" s="337" customFormat="1" ht="15" thickBot="1">
      <c r="A88" s="1324" t="s">
        <v>0</v>
      </c>
      <c r="B88" s="1325"/>
      <c r="C88" s="397"/>
      <c r="D88" s="398"/>
      <c r="E88" s="399"/>
      <c r="F88" s="399"/>
      <c r="G88" s="399"/>
      <c r="H88" s="399"/>
      <c r="I88" s="399"/>
      <c r="J88" s="400"/>
      <c r="K88" s="399">
        <f aca="true" t="shared" si="9" ref="K88:S88">SUM(K77:K87)</f>
        <v>13488</v>
      </c>
      <c r="L88" s="399">
        <f t="shared" si="9"/>
        <v>139488.72</v>
      </c>
      <c r="M88" s="399">
        <f t="shared" si="9"/>
        <v>102249</v>
      </c>
      <c r="N88" s="399">
        <f t="shared" si="9"/>
        <v>58627</v>
      </c>
      <c r="O88" s="399">
        <f t="shared" si="9"/>
        <v>37280</v>
      </c>
      <c r="P88" s="401">
        <f t="shared" si="9"/>
        <v>12825.61</v>
      </c>
      <c r="Q88" s="399">
        <f t="shared" si="9"/>
        <v>24365.86</v>
      </c>
      <c r="R88" s="401">
        <f t="shared" si="9"/>
        <v>20633.9</v>
      </c>
      <c r="S88" s="401">
        <f t="shared" si="9"/>
        <v>16543.45</v>
      </c>
      <c r="T88" s="401">
        <f aca="true" t="shared" si="10" ref="T88:Z88">SUM(T77:T87)</f>
        <v>69635.9</v>
      </c>
      <c r="U88" s="401">
        <f t="shared" si="10"/>
        <v>43106</v>
      </c>
      <c r="V88" s="401">
        <f t="shared" si="10"/>
        <v>254363</v>
      </c>
      <c r="W88" s="402">
        <f t="shared" si="10"/>
        <v>332557</v>
      </c>
      <c r="X88" s="402">
        <f t="shared" si="10"/>
        <v>278546</v>
      </c>
      <c r="Y88" s="402">
        <f t="shared" si="10"/>
        <v>470270</v>
      </c>
      <c r="Z88" s="402">
        <f t="shared" si="10"/>
        <v>188413.4</v>
      </c>
      <c r="AA88" s="402">
        <f>SUM(AA77:AA87)</f>
        <v>244012.44188</v>
      </c>
      <c r="AB88" s="403">
        <f>SUM(AB77:AB87)</f>
        <v>2306405.28188</v>
      </c>
      <c r="AC88" s="361"/>
      <c r="AD88" s="372"/>
      <c r="AE88" s="372"/>
      <c r="AF88" s="372"/>
      <c r="AG88" s="372"/>
      <c r="AH88" s="372"/>
      <c r="AI88" s="372"/>
      <c r="AJ88" s="372"/>
    </row>
    <row r="89" spans="1:29" s="372" customFormat="1" ht="15" thickBot="1">
      <c r="A89" s="404"/>
      <c r="B89" s="404"/>
      <c r="C89" s="361"/>
      <c r="D89" s="361"/>
      <c r="E89" s="405"/>
      <c r="F89" s="405"/>
      <c r="G89" s="405"/>
      <c r="H89" s="405"/>
      <c r="I89" s="405"/>
      <c r="J89" s="406"/>
      <c r="K89" s="405"/>
      <c r="L89" s="405"/>
      <c r="M89" s="405"/>
      <c r="N89" s="405"/>
      <c r="O89" s="405"/>
      <c r="P89" s="405"/>
      <c r="Q89" s="405"/>
      <c r="R89" s="405"/>
      <c r="S89" s="405"/>
      <c r="T89" s="405"/>
      <c r="U89" s="405"/>
      <c r="V89" s="405"/>
      <c r="W89" s="405"/>
      <c r="X89" s="405"/>
      <c r="Y89" s="405"/>
      <c r="Z89" s="405"/>
      <c r="AA89" s="405"/>
      <c r="AB89" s="407"/>
      <c r="AC89" s="361"/>
    </row>
    <row r="90" spans="1:36" s="337" customFormat="1" ht="16.5" thickBot="1">
      <c r="A90" s="1073" t="s">
        <v>120</v>
      </c>
      <c r="B90" s="1074" t="s">
        <v>166</v>
      </c>
      <c r="C90" s="1069">
        <v>1990</v>
      </c>
      <c r="D90" s="1070">
        <v>1991</v>
      </c>
      <c r="E90" s="1070">
        <v>1992</v>
      </c>
      <c r="F90" s="1070">
        <v>1993</v>
      </c>
      <c r="G90" s="1070">
        <v>1994</v>
      </c>
      <c r="H90" s="1070">
        <v>1995</v>
      </c>
      <c r="I90" s="1070">
        <v>1996</v>
      </c>
      <c r="J90" s="1070">
        <v>1997</v>
      </c>
      <c r="K90" s="1070">
        <v>1998</v>
      </c>
      <c r="L90" s="1070">
        <v>1999</v>
      </c>
      <c r="M90" s="1069">
        <v>2000</v>
      </c>
      <c r="N90" s="1069">
        <v>2001</v>
      </c>
      <c r="O90" s="1069">
        <v>2002</v>
      </c>
      <c r="P90" s="1069">
        <v>2003</v>
      </c>
      <c r="Q90" s="1069">
        <v>2004</v>
      </c>
      <c r="R90" s="1069">
        <v>2005</v>
      </c>
      <c r="S90" s="1069">
        <v>2006</v>
      </c>
      <c r="T90" s="1069">
        <v>2007</v>
      </c>
      <c r="U90" s="1069">
        <v>2008</v>
      </c>
      <c r="V90" s="1071">
        <v>2009</v>
      </c>
      <c r="W90" s="1070">
        <v>2010</v>
      </c>
      <c r="X90" s="1070">
        <v>2011</v>
      </c>
      <c r="Y90" s="1070">
        <v>2012</v>
      </c>
      <c r="Z90" s="1070">
        <v>2013</v>
      </c>
      <c r="AA90" s="1070">
        <v>2014</v>
      </c>
      <c r="AB90" s="1072" t="s">
        <v>0</v>
      </c>
      <c r="AC90" s="372"/>
      <c r="AD90" s="372"/>
      <c r="AE90" s="372"/>
      <c r="AF90" s="372"/>
      <c r="AG90" s="372"/>
      <c r="AH90" s="372"/>
      <c r="AI90" s="372"/>
      <c r="AJ90" s="372"/>
    </row>
    <row r="91" spans="1:36" s="337" customFormat="1" ht="14.25">
      <c r="A91" s="355">
        <v>1</v>
      </c>
      <c r="B91" s="356" t="s">
        <v>167</v>
      </c>
      <c r="C91" s="357"/>
      <c r="D91" s="357"/>
      <c r="E91" s="358"/>
      <c r="F91" s="358"/>
      <c r="G91" s="358"/>
      <c r="H91" s="358"/>
      <c r="I91" s="356"/>
      <c r="J91" s="356"/>
      <c r="K91" s="356"/>
      <c r="L91" s="358">
        <v>281.1</v>
      </c>
      <c r="M91" s="358">
        <v>856</v>
      </c>
      <c r="N91" s="358">
        <v>36591.3</v>
      </c>
      <c r="O91" s="358">
        <v>491</v>
      </c>
      <c r="P91" s="358">
        <v>179.5</v>
      </c>
      <c r="Q91" s="358">
        <v>567.9</v>
      </c>
      <c r="R91" s="358">
        <v>632</v>
      </c>
      <c r="S91" s="358">
        <v>924</v>
      </c>
      <c r="T91" s="358">
        <v>1318.67</v>
      </c>
      <c r="U91" s="358">
        <v>1268</v>
      </c>
      <c r="V91" s="358">
        <v>2798</v>
      </c>
      <c r="W91" s="358">
        <v>3663</v>
      </c>
      <c r="X91" s="359">
        <v>1624</v>
      </c>
      <c r="Y91" s="359">
        <v>2051</v>
      </c>
      <c r="Z91" s="359">
        <v>1588.4</v>
      </c>
      <c r="AA91" s="359">
        <v>3540.58</v>
      </c>
      <c r="AB91" s="360">
        <f aca="true" t="shared" si="11" ref="AB91:AB104">SUM(H91:AA91)</f>
        <v>58374.450000000004</v>
      </c>
      <c r="AC91" s="372"/>
      <c r="AD91" s="372"/>
      <c r="AE91" s="372"/>
      <c r="AF91" s="372"/>
      <c r="AG91" s="371"/>
      <c r="AH91" s="372"/>
      <c r="AI91" s="372"/>
      <c r="AJ91" s="372"/>
    </row>
    <row r="92" spans="1:36" s="337" customFormat="1" ht="14.25">
      <c r="A92" s="363">
        <f aca="true" t="shared" si="12" ref="A92:A104">A91+1</f>
        <v>2</v>
      </c>
      <c r="B92" s="364" t="s">
        <v>223</v>
      </c>
      <c r="C92" s="370"/>
      <c r="D92" s="370"/>
      <c r="E92" s="367"/>
      <c r="F92" s="367"/>
      <c r="G92" s="367"/>
      <c r="H92" s="367"/>
      <c r="I92" s="367"/>
      <c r="J92" s="367"/>
      <c r="K92" s="367"/>
      <c r="L92" s="367"/>
      <c r="M92" s="367">
        <v>222</v>
      </c>
      <c r="N92" s="367">
        <v>239</v>
      </c>
      <c r="O92" s="367">
        <v>509</v>
      </c>
      <c r="P92" s="367">
        <v>458</v>
      </c>
      <c r="Q92" s="367">
        <v>1588</v>
      </c>
      <c r="R92" s="367">
        <v>4575</v>
      </c>
      <c r="S92" s="367">
        <v>1826</v>
      </c>
      <c r="T92" s="367">
        <v>1004</v>
      </c>
      <c r="U92" s="367">
        <v>900</v>
      </c>
      <c r="V92" s="367">
        <v>1196</v>
      </c>
      <c r="W92" s="367">
        <v>1345</v>
      </c>
      <c r="X92" s="368">
        <v>1664</v>
      </c>
      <c r="Y92" s="368">
        <v>3282</v>
      </c>
      <c r="Z92" s="368">
        <v>1135</v>
      </c>
      <c r="AA92" s="368">
        <v>3322.3</v>
      </c>
      <c r="AB92" s="369">
        <f t="shared" si="11"/>
        <v>23265.3</v>
      </c>
      <c r="AC92" s="371"/>
      <c r="AD92" s="371"/>
      <c r="AE92" s="371"/>
      <c r="AF92" s="372"/>
      <c r="AG92" s="371"/>
      <c r="AH92" s="372"/>
      <c r="AI92" s="372"/>
      <c r="AJ92" s="372"/>
    </row>
    <row r="93" spans="1:36" s="337" customFormat="1" ht="14.25">
      <c r="A93" s="363">
        <f t="shared" si="12"/>
        <v>3</v>
      </c>
      <c r="B93" s="364" t="s">
        <v>168</v>
      </c>
      <c r="C93" s="370"/>
      <c r="D93" s="370"/>
      <c r="E93" s="367"/>
      <c r="F93" s="367"/>
      <c r="G93" s="367">
        <f>9021</f>
        <v>9021</v>
      </c>
      <c r="H93" s="367">
        <v>23889</v>
      </c>
      <c r="I93" s="367">
        <v>53642</v>
      </c>
      <c r="J93" s="367">
        <v>56848</v>
      </c>
      <c r="K93" s="367">
        <v>30900</v>
      </c>
      <c r="L93" s="367">
        <v>41037</v>
      </c>
      <c r="M93" s="367">
        <v>36000</v>
      </c>
      <c r="N93" s="367">
        <v>40011</v>
      </c>
      <c r="O93" s="367">
        <v>30160</v>
      </c>
      <c r="P93" s="367">
        <v>22213</v>
      </c>
      <c r="Q93" s="367">
        <v>18722</v>
      </c>
      <c r="R93" s="367">
        <v>27752</v>
      </c>
      <c r="S93" s="367">
        <v>38969</v>
      </c>
      <c r="T93" s="367">
        <v>43501</v>
      </c>
      <c r="U93" s="367">
        <v>69483</v>
      </c>
      <c r="V93" s="367">
        <v>61766</v>
      </c>
      <c r="W93" s="367">
        <v>48070</v>
      </c>
      <c r="X93" s="368">
        <v>80274</v>
      </c>
      <c r="Y93" s="368">
        <v>112415</v>
      </c>
      <c r="Z93" s="368">
        <v>118281</v>
      </c>
      <c r="AA93" s="368">
        <v>148862.3</v>
      </c>
      <c r="AB93" s="369">
        <f t="shared" si="11"/>
        <v>1102795.3</v>
      </c>
      <c r="AC93" s="371"/>
      <c r="AD93" s="371"/>
      <c r="AE93" s="371"/>
      <c r="AF93" s="372"/>
      <c r="AG93" s="371"/>
      <c r="AH93" s="372"/>
      <c r="AI93" s="372"/>
      <c r="AJ93" s="372"/>
    </row>
    <row r="94" spans="1:36" s="337" customFormat="1" ht="14.25" customHeight="1">
      <c r="A94" s="363">
        <f t="shared" si="12"/>
        <v>4</v>
      </c>
      <c r="B94" s="364" t="s">
        <v>169</v>
      </c>
      <c r="C94" s="370"/>
      <c r="D94" s="370"/>
      <c r="E94" s="367"/>
      <c r="F94" s="367"/>
      <c r="G94" s="367"/>
      <c r="H94" s="367"/>
      <c r="I94" s="367"/>
      <c r="J94" s="367"/>
      <c r="K94" s="367"/>
      <c r="L94" s="367"/>
      <c r="M94" s="367">
        <v>24</v>
      </c>
      <c r="N94" s="367"/>
      <c r="O94" s="367"/>
      <c r="P94" s="367"/>
      <c r="Q94" s="367"/>
      <c r="R94" s="367"/>
      <c r="S94" s="367"/>
      <c r="T94" s="367"/>
      <c r="U94" s="367"/>
      <c r="V94" s="367"/>
      <c r="W94" s="367">
        <v>35</v>
      </c>
      <c r="X94" s="368">
        <v>26.6</v>
      </c>
      <c r="Y94" s="368">
        <v>70</v>
      </c>
      <c r="Z94" s="368"/>
      <c r="AA94" s="368"/>
      <c r="AB94" s="369">
        <f t="shared" si="11"/>
        <v>155.6</v>
      </c>
      <c r="AC94" s="372"/>
      <c r="AD94" s="372"/>
      <c r="AE94" s="372"/>
      <c r="AF94" s="372"/>
      <c r="AG94" s="372"/>
      <c r="AH94" s="372"/>
      <c r="AI94" s="372"/>
      <c r="AJ94" s="372"/>
    </row>
    <row r="95" spans="1:36" s="337" customFormat="1" ht="14.25">
      <c r="A95" s="363">
        <f t="shared" si="12"/>
        <v>5</v>
      </c>
      <c r="B95" s="364" t="s">
        <v>170</v>
      </c>
      <c r="C95" s="370"/>
      <c r="D95" s="370"/>
      <c r="E95" s="367"/>
      <c r="F95" s="367"/>
      <c r="G95" s="367"/>
      <c r="H95" s="367"/>
      <c r="I95" s="364"/>
      <c r="J95" s="364"/>
      <c r="K95" s="367">
        <v>1285</v>
      </c>
      <c r="L95" s="367">
        <v>1190</v>
      </c>
      <c r="M95" s="367">
        <v>20337</v>
      </c>
      <c r="N95" s="367">
        <v>2232</v>
      </c>
      <c r="O95" s="367"/>
      <c r="P95" s="367"/>
      <c r="Q95" s="367"/>
      <c r="R95" s="367"/>
      <c r="S95" s="367"/>
      <c r="T95" s="367"/>
      <c r="U95" s="367"/>
      <c r="V95" s="367"/>
      <c r="W95" s="367"/>
      <c r="X95" s="368"/>
      <c r="Y95" s="368"/>
      <c r="Z95" s="368"/>
      <c r="AA95" s="368"/>
      <c r="AB95" s="369">
        <f t="shared" si="11"/>
        <v>25044</v>
      </c>
      <c r="AC95" s="371"/>
      <c r="AD95" s="371"/>
      <c r="AE95" s="371"/>
      <c r="AF95" s="371"/>
      <c r="AG95" s="371"/>
      <c r="AH95" s="371"/>
      <c r="AI95" s="371"/>
      <c r="AJ95" s="372"/>
    </row>
    <row r="96" spans="1:36" s="337" customFormat="1" ht="14.25">
      <c r="A96" s="363">
        <f t="shared" si="12"/>
        <v>6</v>
      </c>
      <c r="B96" s="364" t="s">
        <v>171</v>
      </c>
      <c r="C96" s="370"/>
      <c r="D96" s="370"/>
      <c r="E96" s="367"/>
      <c r="F96" s="367"/>
      <c r="G96" s="367"/>
      <c r="H96" s="367"/>
      <c r="I96" s="364"/>
      <c r="J96" s="367">
        <v>3330</v>
      </c>
      <c r="K96" s="367">
        <v>4169</v>
      </c>
      <c r="L96" s="367">
        <v>2487</v>
      </c>
      <c r="M96" s="367">
        <v>3356</v>
      </c>
      <c r="N96" s="367">
        <v>1847</v>
      </c>
      <c r="O96" s="367">
        <v>935</v>
      </c>
      <c r="P96" s="367">
        <v>586</v>
      </c>
      <c r="Q96" s="367">
        <v>236</v>
      </c>
      <c r="R96" s="367">
        <v>1495.08</v>
      </c>
      <c r="S96" s="367">
        <v>2109</v>
      </c>
      <c r="T96" s="367">
        <v>2243</v>
      </c>
      <c r="U96" s="367">
        <v>14750</v>
      </c>
      <c r="V96" s="367">
        <v>15656</v>
      </c>
      <c r="W96" s="367">
        <v>11111</v>
      </c>
      <c r="X96" s="368">
        <v>6826</v>
      </c>
      <c r="Y96" s="368">
        <v>7109</v>
      </c>
      <c r="Z96" s="368">
        <v>14212</v>
      </c>
      <c r="AA96" s="368">
        <v>7035.3</v>
      </c>
      <c r="AB96" s="369">
        <f t="shared" si="11"/>
        <v>99492.38</v>
      </c>
      <c r="AC96" s="372"/>
      <c r="AD96" s="372"/>
      <c r="AE96" s="372"/>
      <c r="AF96" s="372"/>
      <c r="AG96" s="372"/>
      <c r="AH96" s="372"/>
      <c r="AI96" s="372"/>
      <c r="AJ96" s="372"/>
    </row>
    <row r="97" spans="1:36" s="337" customFormat="1" ht="14.25">
      <c r="A97" s="363">
        <f t="shared" si="12"/>
        <v>7</v>
      </c>
      <c r="B97" s="364" t="s">
        <v>172</v>
      </c>
      <c r="C97" s="370"/>
      <c r="D97" s="370"/>
      <c r="E97" s="367"/>
      <c r="F97" s="367"/>
      <c r="G97" s="367"/>
      <c r="H97" s="367"/>
      <c r="I97" s="367"/>
      <c r="J97" s="367"/>
      <c r="K97" s="367">
        <v>11467</v>
      </c>
      <c r="L97" s="367">
        <v>11192</v>
      </c>
      <c r="M97" s="367">
        <v>4478</v>
      </c>
      <c r="N97" s="367">
        <v>1605</v>
      </c>
      <c r="O97" s="367"/>
      <c r="P97" s="367"/>
      <c r="Q97" s="367"/>
      <c r="R97" s="367"/>
      <c r="S97" s="367"/>
      <c r="T97" s="367"/>
      <c r="U97" s="367"/>
      <c r="V97" s="367"/>
      <c r="W97" s="367"/>
      <c r="X97" s="368"/>
      <c r="Y97" s="368"/>
      <c r="Z97" s="368"/>
      <c r="AA97" s="368"/>
      <c r="AB97" s="369">
        <f t="shared" si="11"/>
        <v>28742</v>
      </c>
      <c r="AC97" s="372"/>
      <c r="AD97" s="372"/>
      <c r="AE97" s="372"/>
      <c r="AF97" s="372"/>
      <c r="AG97" s="372"/>
      <c r="AH97" s="372"/>
      <c r="AI97" s="372"/>
      <c r="AJ97" s="372"/>
    </row>
    <row r="98" spans="1:36" s="337" customFormat="1" ht="14.25">
      <c r="A98" s="363">
        <f t="shared" si="12"/>
        <v>8</v>
      </c>
      <c r="B98" s="364" t="s">
        <v>173</v>
      </c>
      <c r="C98" s="370"/>
      <c r="D98" s="370"/>
      <c r="E98" s="367"/>
      <c r="F98" s="367"/>
      <c r="G98" s="367"/>
      <c r="H98" s="367"/>
      <c r="I98" s="364"/>
      <c r="J98" s="364"/>
      <c r="K98" s="367">
        <v>4179</v>
      </c>
      <c r="L98" s="367">
        <v>2379</v>
      </c>
      <c r="M98" s="367">
        <v>1878</v>
      </c>
      <c r="N98" s="367">
        <v>1970.4</v>
      </c>
      <c r="O98" s="367"/>
      <c r="P98" s="367"/>
      <c r="Q98" s="367"/>
      <c r="R98" s="367"/>
      <c r="S98" s="367"/>
      <c r="T98" s="367"/>
      <c r="U98" s="367"/>
      <c r="V98" s="367"/>
      <c r="W98" s="367"/>
      <c r="X98" s="368"/>
      <c r="Y98" s="368"/>
      <c r="Z98" s="368"/>
      <c r="AA98" s="368"/>
      <c r="AB98" s="369">
        <f t="shared" si="11"/>
        <v>10406.4</v>
      </c>
      <c r="AC98" s="371"/>
      <c r="AD98" s="371"/>
      <c r="AE98" s="371"/>
      <c r="AF98" s="372"/>
      <c r="AG98" s="372"/>
      <c r="AH98" s="372"/>
      <c r="AI98" s="372"/>
      <c r="AJ98" s="372"/>
    </row>
    <row r="99" spans="1:62" s="337" customFormat="1" ht="25.5" customHeight="1">
      <c r="A99" s="363">
        <f t="shared" si="12"/>
        <v>9</v>
      </c>
      <c r="B99" s="408" t="s">
        <v>174</v>
      </c>
      <c r="C99" s="370"/>
      <c r="D99" s="370"/>
      <c r="E99" s="367"/>
      <c r="F99" s="367"/>
      <c r="G99" s="367"/>
      <c r="H99" s="367"/>
      <c r="I99" s="367"/>
      <c r="J99" s="367"/>
      <c r="K99" s="367"/>
      <c r="L99" s="367">
        <v>17</v>
      </c>
      <c r="M99" s="367">
        <v>13</v>
      </c>
      <c r="N99" s="367">
        <v>2.49</v>
      </c>
      <c r="O99" s="367"/>
      <c r="P99" s="367"/>
      <c r="Q99" s="367"/>
      <c r="R99" s="367"/>
      <c r="S99" s="367"/>
      <c r="T99" s="367"/>
      <c r="U99" s="367"/>
      <c r="V99" s="367"/>
      <c r="W99" s="367"/>
      <c r="X99" s="368"/>
      <c r="Y99" s="368"/>
      <c r="Z99" s="368"/>
      <c r="AA99" s="368"/>
      <c r="AB99" s="369">
        <f t="shared" si="11"/>
        <v>32.49</v>
      </c>
      <c r="AC99" s="371"/>
      <c r="AD99" s="371"/>
      <c r="AE99" s="371"/>
      <c r="AF99" s="371"/>
      <c r="AG99" s="371"/>
      <c r="AH99" s="371"/>
      <c r="AI99" s="371"/>
      <c r="AJ99" s="371"/>
      <c r="AL99" s="409"/>
      <c r="AM99" s="409"/>
      <c r="AN99" s="409"/>
      <c r="AO99" s="409"/>
      <c r="AP99" s="409"/>
      <c r="AQ99" s="409"/>
      <c r="AR99" s="409"/>
      <c r="AS99" s="409"/>
      <c r="AT99" s="409"/>
      <c r="AU99" s="409"/>
      <c r="AV99" s="409"/>
      <c r="AW99" s="409"/>
      <c r="AX99" s="409"/>
      <c r="AY99" s="409"/>
      <c r="AZ99" s="409"/>
      <c r="BA99" s="409"/>
      <c r="BB99" s="409"/>
      <c r="BC99" s="409"/>
      <c r="BD99" s="409"/>
      <c r="BE99" s="409"/>
      <c r="BF99" s="409"/>
      <c r="BG99" s="409"/>
      <c r="BH99" s="409"/>
      <c r="BI99" s="409"/>
      <c r="BJ99" s="409"/>
    </row>
    <row r="100" spans="1:62" s="337" customFormat="1" ht="12.75" customHeight="1">
      <c r="A100" s="410">
        <f t="shared" si="12"/>
        <v>10</v>
      </c>
      <c r="B100" s="408" t="s">
        <v>175</v>
      </c>
      <c r="C100" s="370"/>
      <c r="D100" s="370"/>
      <c r="E100" s="367"/>
      <c r="F100" s="367"/>
      <c r="G100" s="367"/>
      <c r="H100" s="367"/>
      <c r="I100" s="367"/>
      <c r="J100" s="367"/>
      <c r="K100" s="367"/>
      <c r="L100" s="367"/>
      <c r="M100" s="367">
        <v>160</v>
      </c>
      <c r="N100" s="367"/>
      <c r="O100" s="367">
        <v>85</v>
      </c>
      <c r="P100" s="367"/>
      <c r="Q100" s="367"/>
      <c r="R100" s="367"/>
      <c r="S100" s="367"/>
      <c r="T100" s="367"/>
      <c r="U100" s="367"/>
      <c r="V100" s="367"/>
      <c r="W100" s="367"/>
      <c r="X100" s="368"/>
      <c r="Y100" s="368"/>
      <c r="Z100" s="368"/>
      <c r="AA100" s="368"/>
      <c r="AB100" s="369">
        <f t="shared" si="11"/>
        <v>245</v>
      </c>
      <c r="AC100" s="371"/>
      <c r="AD100" s="371"/>
      <c r="AE100" s="371"/>
      <c r="AF100" s="371"/>
      <c r="AG100" s="371"/>
      <c r="AH100" s="371"/>
      <c r="AI100" s="371"/>
      <c r="AJ100" s="371"/>
      <c r="AL100" s="409"/>
      <c r="AM100" s="409"/>
      <c r="AN100" s="409"/>
      <c r="AO100" s="409"/>
      <c r="AP100" s="409"/>
      <c r="AQ100" s="409"/>
      <c r="AR100" s="409"/>
      <c r="AS100" s="409"/>
      <c r="AT100" s="409"/>
      <c r="AU100" s="409"/>
      <c r="AV100" s="409"/>
      <c r="AW100" s="409"/>
      <c r="AX100" s="409"/>
      <c r="AY100" s="409"/>
      <c r="AZ100" s="409"/>
      <c r="BA100" s="409"/>
      <c r="BB100" s="409"/>
      <c r="BC100" s="409"/>
      <c r="BD100" s="409"/>
      <c r="BE100" s="409"/>
      <c r="BF100" s="409"/>
      <c r="BG100" s="409"/>
      <c r="BH100" s="409"/>
      <c r="BI100" s="409"/>
      <c r="BJ100" s="409"/>
    </row>
    <row r="101" spans="1:62" s="337" customFormat="1" ht="28.5" customHeight="1">
      <c r="A101" s="410">
        <f t="shared" si="12"/>
        <v>11</v>
      </c>
      <c r="B101" s="408" t="s">
        <v>176</v>
      </c>
      <c r="C101" s="370"/>
      <c r="D101" s="370"/>
      <c r="E101" s="367"/>
      <c r="F101" s="367"/>
      <c r="G101" s="367"/>
      <c r="H101" s="367"/>
      <c r="I101" s="367">
        <v>11.71</v>
      </c>
      <c r="J101" s="367">
        <v>8.96</v>
      </c>
      <c r="K101" s="367">
        <v>8.96</v>
      </c>
      <c r="L101" s="367">
        <v>37.43</v>
      </c>
      <c r="M101" s="367">
        <v>133</v>
      </c>
      <c r="N101" s="367"/>
      <c r="O101" s="367"/>
      <c r="P101" s="367"/>
      <c r="Q101" s="367"/>
      <c r="R101" s="367"/>
      <c r="S101" s="367"/>
      <c r="T101" s="367"/>
      <c r="U101" s="367"/>
      <c r="V101" s="367"/>
      <c r="W101" s="367"/>
      <c r="X101" s="368"/>
      <c r="Y101" s="368"/>
      <c r="Z101" s="368"/>
      <c r="AA101" s="368"/>
      <c r="AB101" s="369">
        <f t="shared" si="11"/>
        <v>200.06</v>
      </c>
      <c r="AC101" s="371"/>
      <c r="AD101" s="371"/>
      <c r="AE101" s="371"/>
      <c r="AF101" s="371"/>
      <c r="AG101" s="371"/>
      <c r="AH101" s="371"/>
      <c r="AI101" s="371"/>
      <c r="AJ101" s="371"/>
      <c r="AL101" s="409"/>
      <c r="AM101" s="409"/>
      <c r="AN101" s="409"/>
      <c r="AO101" s="409"/>
      <c r="AP101" s="409"/>
      <c r="AQ101" s="409"/>
      <c r="AR101" s="409"/>
      <c r="AS101" s="409"/>
      <c r="AT101" s="409"/>
      <c r="AU101" s="409"/>
      <c r="AV101" s="409"/>
      <c r="AW101" s="409"/>
      <c r="AX101" s="409"/>
      <c r="AY101" s="409"/>
      <c r="AZ101" s="409"/>
      <c r="BA101" s="409"/>
      <c r="BB101" s="409"/>
      <c r="BC101" s="409"/>
      <c r="BD101" s="409"/>
      <c r="BE101" s="409"/>
      <c r="BF101" s="409"/>
      <c r="BG101" s="409"/>
      <c r="BH101" s="409"/>
      <c r="BI101" s="409"/>
      <c r="BJ101" s="409"/>
    </row>
    <row r="102" spans="1:62" s="337" customFormat="1" ht="13.5" customHeight="1">
      <c r="A102" s="410">
        <f t="shared" si="12"/>
        <v>12</v>
      </c>
      <c r="B102" s="364" t="s">
        <v>177</v>
      </c>
      <c r="C102" s="370"/>
      <c r="D102" s="370"/>
      <c r="E102" s="367"/>
      <c r="F102" s="367"/>
      <c r="G102" s="367"/>
      <c r="H102" s="367"/>
      <c r="I102" s="367"/>
      <c r="J102" s="367"/>
      <c r="K102" s="367">
        <v>1196</v>
      </c>
      <c r="L102" s="367"/>
      <c r="M102" s="367">
        <v>28761</v>
      </c>
      <c r="N102" s="367">
        <v>4799</v>
      </c>
      <c r="O102" s="367"/>
      <c r="P102" s="367"/>
      <c r="Q102" s="367"/>
      <c r="R102" s="367"/>
      <c r="S102" s="367"/>
      <c r="T102" s="367"/>
      <c r="U102" s="367"/>
      <c r="V102" s="367"/>
      <c r="W102" s="367"/>
      <c r="X102" s="368"/>
      <c r="Y102" s="368"/>
      <c r="Z102" s="368"/>
      <c r="AA102" s="368"/>
      <c r="AB102" s="369">
        <f t="shared" si="11"/>
        <v>34756</v>
      </c>
      <c r="AC102" s="371"/>
      <c r="AD102" s="371"/>
      <c r="AE102" s="371"/>
      <c r="AF102" s="371"/>
      <c r="AG102" s="371"/>
      <c r="AH102" s="371"/>
      <c r="AI102" s="371"/>
      <c r="AJ102" s="371"/>
      <c r="AL102" s="409"/>
      <c r="AM102" s="409"/>
      <c r="AN102" s="409"/>
      <c r="AO102" s="409"/>
      <c r="AP102" s="409"/>
      <c r="AQ102" s="409"/>
      <c r="AR102" s="409"/>
      <c r="AS102" s="409"/>
      <c r="AT102" s="409"/>
      <c r="AU102" s="409"/>
      <c r="AV102" s="409"/>
      <c r="AW102" s="409"/>
      <c r="AX102" s="409"/>
      <c r="AY102" s="409"/>
      <c r="AZ102" s="409"/>
      <c r="BA102" s="409"/>
      <c r="BB102" s="409"/>
      <c r="BC102" s="409"/>
      <c r="BD102" s="409"/>
      <c r="BE102" s="409"/>
      <c r="BF102" s="409"/>
      <c r="BG102" s="409"/>
      <c r="BH102" s="409"/>
      <c r="BI102" s="409"/>
      <c r="BJ102" s="409"/>
    </row>
    <row r="103" spans="1:62" s="337" customFormat="1" ht="12.75" customHeight="1">
      <c r="A103" s="410">
        <f t="shared" si="12"/>
        <v>13</v>
      </c>
      <c r="B103" s="364" t="s">
        <v>178</v>
      </c>
      <c r="C103" s="370"/>
      <c r="D103" s="370"/>
      <c r="E103" s="367"/>
      <c r="F103" s="367"/>
      <c r="G103" s="367">
        <f>19854</f>
        <v>19854</v>
      </c>
      <c r="H103" s="367">
        <v>34628</v>
      </c>
      <c r="I103" s="367">
        <v>44516</v>
      </c>
      <c r="J103" s="364">
        <v>39342</v>
      </c>
      <c r="K103" s="367">
        <v>41203</v>
      </c>
      <c r="L103" s="367">
        <v>28805</v>
      </c>
      <c r="M103" s="367">
        <v>26900</v>
      </c>
      <c r="N103" s="367">
        <v>29419</v>
      </c>
      <c r="O103" s="367">
        <v>32841</v>
      </c>
      <c r="P103" s="367">
        <v>24802</v>
      </c>
      <c r="Q103" s="367">
        <v>30507</v>
      </c>
      <c r="R103" s="367">
        <v>36249</v>
      </c>
      <c r="S103" s="367">
        <v>29711</v>
      </c>
      <c r="T103" s="367">
        <v>37114</v>
      </c>
      <c r="U103" s="367">
        <v>47135</v>
      </c>
      <c r="V103" s="367">
        <v>46481</v>
      </c>
      <c r="W103" s="367">
        <v>43994</v>
      </c>
      <c r="X103" s="368">
        <v>60580</v>
      </c>
      <c r="Y103" s="368">
        <v>126057</v>
      </c>
      <c r="Z103" s="368">
        <v>141946</v>
      </c>
      <c r="AA103" s="368">
        <v>122235.4</v>
      </c>
      <c r="AB103" s="369">
        <f t="shared" si="11"/>
        <v>1024465.4</v>
      </c>
      <c r="AC103" s="371"/>
      <c r="AD103" s="371"/>
      <c r="AE103" s="371"/>
      <c r="AF103" s="371"/>
      <c r="AG103" s="371"/>
      <c r="AH103" s="371"/>
      <c r="AI103" s="371"/>
      <c r="AJ103" s="371"/>
      <c r="AL103" s="409"/>
      <c r="AM103" s="409"/>
      <c r="AN103" s="409"/>
      <c r="AO103" s="409"/>
      <c r="AP103" s="409"/>
      <c r="AQ103" s="409"/>
      <c r="AR103" s="409"/>
      <c r="AS103" s="409"/>
      <c r="AT103" s="409"/>
      <c r="AU103" s="409"/>
      <c r="AV103" s="409"/>
      <c r="AW103" s="409"/>
      <c r="AX103" s="409"/>
      <c r="AY103" s="409"/>
      <c r="AZ103" s="409"/>
      <c r="BA103" s="409"/>
      <c r="BB103" s="409"/>
      <c r="BC103" s="409"/>
      <c r="BD103" s="409"/>
      <c r="BE103" s="409"/>
      <c r="BF103" s="409"/>
      <c r="BG103" s="409"/>
      <c r="BH103" s="409"/>
      <c r="BI103" s="409"/>
      <c r="BJ103" s="409"/>
    </row>
    <row r="104" spans="1:62" s="337" customFormat="1" ht="15" customHeight="1" thickBot="1">
      <c r="A104" s="411">
        <f t="shared" si="12"/>
        <v>14</v>
      </c>
      <c r="B104" s="412" t="s">
        <v>179</v>
      </c>
      <c r="C104" s="413"/>
      <c r="D104" s="413"/>
      <c r="E104" s="414"/>
      <c r="F104" s="414"/>
      <c r="G104" s="414"/>
      <c r="H104" s="414"/>
      <c r="I104" s="414"/>
      <c r="J104" s="414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>
        <v>36</v>
      </c>
      <c r="W104" s="414">
        <v>4457</v>
      </c>
      <c r="X104" s="415">
        <v>18</v>
      </c>
      <c r="Y104" s="415">
        <v>37.2</v>
      </c>
      <c r="Z104" s="415">
        <v>98</v>
      </c>
      <c r="AA104" s="415">
        <v>58.400000000000006</v>
      </c>
      <c r="AB104" s="416">
        <f t="shared" si="11"/>
        <v>4704.599999999999</v>
      </c>
      <c r="AC104" s="371"/>
      <c r="AD104" s="371"/>
      <c r="AE104" s="371"/>
      <c r="AF104" s="371"/>
      <c r="AG104" s="371"/>
      <c r="AH104" s="371"/>
      <c r="AI104" s="371"/>
      <c r="AJ104" s="371"/>
      <c r="AL104" s="409"/>
      <c r="AM104" s="409"/>
      <c r="AN104" s="409"/>
      <c r="AO104" s="409"/>
      <c r="AP104" s="409"/>
      <c r="AQ104" s="409"/>
      <c r="AR104" s="409"/>
      <c r="AS104" s="409"/>
      <c r="AT104" s="409"/>
      <c r="AU104" s="409"/>
      <c r="AV104" s="409"/>
      <c r="AW104" s="409"/>
      <c r="AX104" s="409"/>
      <c r="AY104" s="409"/>
      <c r="AZ104" s="409"/>
      <c r="BA104" s="409"/>
      <c r="BB104" s="409"/>
      <c r="BC104" s="409"/>
      <c r="BD104" s="409"/>
      <c r="BE104" s="409"/>
      <c r="BF104" s="409"/>
      <c r="BG104" s="409"/>
      <c r="BH104" s="409"/>
      <c r="BI104" s="409"/>
      <c r="BJ104" s="409"/>
    </row>
    <row r="105" spans="1:36" ht="15" thickBot="1">
      <c r="A105" s="1326" t="s">
        <v>12</v>
      </c>
      <c r="B105" s="1327"/>
      <c r="C105" s="417"/>
      <c r="D105" s="379"/>
      <c r="E105" s="380"/>
      <c r="F105" s="380"/>
      <c r="G105" s="380">
        <f aca="true" t="shared" si="13" ref="G105:AB105">SUM(G91:G104)</f>
        <v>28875</v>
      </c>
      <c r="H105" s="380">
        <f t="shared" si="13"/>
        <v>58517</v>
      </c>
      <c r="I105" s="380">
        <f t="shared" si="13"/>
        <v>98169.70999999999</v>
      </c>
      <c r="J105" s="380">
        <f t="shared" si="13"/>
        <v>99528.95999999999</v>
      </c>
      <c r="K105" s="380">
        <f t="shared" si="13"/>
        <v>94407.95999999999</v>
      </c>
      <c r="L105" s="380">
        <f t="shared" si="13"/>
        <v>87425.53</v>
      </c>
      <c r="M105" s="380">
        <f t="shared" si="13"/>
        <v>123118</v>
      </c>
      <c r="N105" s="380">
        <f t="shared" si="13"/>
        <v>118716.19</v>
      </c>
      <c r="O105" s="380">
        <f t="shared" si="13"/>
        <v>65021</v>
      </c>
      <c r="P105" s="381">
        <f t="shared" si="13"/>
        <v>48238.5</v>
      </c>
      <c r="Q105" s="380">
        <f t="shared" si="13"/>
        <v>51620.9</v>
      </c>
      <c r="R105" s="381">
        <f t="shared" si="13"/>
        <v>70703.08</v>
      </c>
      <c r="S105" s="381">
        <f t="shared" si="13"/>
        <v>73539</v>
      </c>
      <c r="T105" s="381">
        <f t="shared" si="13"/>
        <v>85180.67</v>
      </c>
      <c r="U105" s="381">
        <f t="shared" si="13"/>
        <v>133536</v>
      </c>
      <c r="V105" s="381">
        <f t="shared" si="13"/>
        <v>127933</v>
      </c>
      <c r="W105" s="381">
        <f>SUM(W91:W104)</f>
        <v>112675</v>
      </c>
      <c r="X105" s="381">
        <f>SUM(X91:X104)</f>
        <v>151012.6</v>
      </c>
      <c r="Y105" s="381">
        <f>SUM(Y91:Y104)</f>
        <v>251021.2</v>
      </c>
      <c r="Z105" s="381">
        <f>SUM(Z91:Z104)</f>
        <v>277260.4</v>
      </c>
      <c r="AA105" s="381">
        <f>SUM(AA91:AA104)</f>
        <v>285054.28</v>
      </c>
      <c r="AB105" s="382">
        <f t="shared" si="13"/>
        <v>2412678.9800000004</v>
      </c>
      <c r="AC105" s="383"/>
      <c r="AD105" s="383"/>
      <c r="AE105" s="383"/>
      <c r="AF105" s="383"/>
      <c r="AG105" s="383"/>
      <c r="AH105" s="383"/>
      <c r="AI105" s="383"/>
      <c r="AJ105" s="383"/>
    </row>
    <row r="106" spans="1:36" ht="15" thickBot="1">
      <c r="A106" s="418"/>
      <c r="B106" s="419"/>
      <c r="C106" s="383"/>
      <c r="D106" s="383"/>
      <c r="E106" s="420"/>
      <c r="F106" s="420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  <c r="AB106" s="420"/>
      <c r="AC106" s="383"/>
      <c r="AD106" s="383"/>
      <c r="AE106" s="383"/>
      <c r="AF106" s="383"/>
      <c r="AG106" s="383"/>
      <c r="AH106" s="383"/>
      <c r="AI106" s="383"/>
      <c r="AJ106" s="383"/>
    </row>
    <row r="107" spans="1:36" ht="15" thickBot="1">
      <c r="A107" s="1322" t="s">
        <v>33</v>
      </c>
      <c r="B107" s="1323"/>
      <c r="C107" s="378"/>
      <c r="D107" s="379"/>
      <c r="E107" s="421"/>
      <c r="F107" s="421"/>
      <c r="G107" s="421">
        <f aca="true" t="shared" si="14" ref="G107:AB107">G74+G88+G105</f>
        <v>60353.89</v>
      </c>
      <c r="H107" s="421">
        <f t="shared" si="14"/>
        <v>66165.63</v>
      </c>
      <c r="I107" s="421">
        <f t="shared" si="14"/>
        <v>195921.16999999998</v>
      </c>
      <c r="J107" s="421">
        <f t="shared" si="14"/>
        <v>339735.91500000004</v>
      </c>
      <c r="K107" s="421">
        <f t="shared" si="14"/>
        <v>358705.088</v>
      </c>
      <c r="L107" s="421">
        <f t="shared" si="14"/>
        <v>507744.669</v>
      </c>
      <c r="M107" s="421">
        <f t="shared" si="14"/>
        <v>437769</v>
      </c>
      <c r="N107" s="421">
        <f t="shared" si="14"/>
        <v>210829.29</v>
      </c>
      <c r="O107" s="421">
        <f t="shared" si="14"/>
        <v>132343</v>
      </c>
      <c r="P107" s="422">
        <f t="shared" si="14"/>
        <v>81123.70999999999</v>
      </c>
      <c r="Q107" s="421">
        <f t="shared" si="14"/>
        <v>168551.96</v>
      </c>
      <c r="R107" s="422">
        <f t="shared" si="14"/>
        <v>231061.62</v>
      </c>
      <c r="S107" s="422">
        <f t="shared" si="14"/>
        <v>350459.05</v>
      </c>
      <c r="T107" s="422">
        <f t="shared" si="14"/>
        <v>399347.57</v>
      </c>
      <c r="U107" s="422">
        <f t="shared" si="14"/>
        <v>633659</v>
      </c>
      <c r="V107" s="422">
        <f t="shared" si="14"/>
        <v>741830</v>
      </c>
      <c r="W107" s="422">
        <f>W74+W88+W105</f>
        <v>978752</v>
      </c>
      <c r="X107" s="422">
        <f>X74+X88+X105</f>
        <v>1641750.9652000002</v>
      </c>
      <c r="Y107" s="422">
        <f>Y74+Y88+Y105</f>
        <v>2467429.8604500005</v>
      </c>
      <c r="Z107" s="422">
        <f>Z74+Z88+Z105</f>
        <v>2230292.5</v>
      </c>
      <c r="AA107" s="422">
        <f>AA74+AA88+AA105</f>
        <v>2296237.001713703</v>
      </c>
      <c r="AB107" s="382">
        <f t="shared" si="14"/>
        <v>14482012.889363702</v>
      </c>
      <c r="AC107" s="383"/>
      <c r="AD107" s="384"/>
      <c r="AE107" s="384"/>
      <c r="AF107" s="384"/>
      <c r="AG107" s="385"/>
      <c r="AH107" s="385"/>
      <c r="AI107" s="385"/>
      <c r="AJ107" s="385"/>
    </row>
    <row r="108" spans="1:36" ht="14.25">
      <c r="A108" s="423"/>
      <c r="B108" s="424"/>
      <c r="C108" s="425"/>
      <c r="D108" s="426"/>
      <c r="E108" s="426"/>
      <c r="F108" s="426"/>
      <c r="G108" s="426"/>
      <c r="H108" s="424"/>
      <c r="I108" s="424"/>
      <c r="J108" s="424"/>
      <c r="K108" s="424"/>
      <c r="L108" s="424"/>
      <c r="M108" s="424"/>
      <c r="N108" s="424"/>
      <c r="O108" s="424"/>
      <c r="P108" s="424"/>
      <c r="Q108" s="424"/>
      <c r="R108" s="424"/>
      <c r="S108" s="424"/>
      <c r="T108" s="424"/>
      <c r="U108" s="424"/>
      <c r="V108" s="424"/>
      <c r="W108" s="424"/>
      <c r="X108" s="424"/>
      <c r="Y108" s="424"/>
      <c r="Z108" s="424"/>
      <c r="AA108" s="424"/>
      <c r="AB108" s="427"/>
      <c r="AC108" s="385"/>
      <c r="AD108" s="385"/>
      <c r="AE108" s="385"/>
      <c r="AF108" s="385"/>
      <c r="AG108" s="385"/>
      <c r="AH108" s="385"/>
      <c r="AI108" s="385"/>
      <c r="AJ108" s="385"/>
    </row>
    <row r="109" spans="1:36" ht="14.25">
      <c r="A109" s="428" t="s">
        <v>180</v>
      </c>
      <c r="C109" s="429"/>
      <c r="E109" s="430"/>
      <c r="F109" s="430"/>
      <c r="G109" s="430"/>
      <c r="AB109" s="385"/>
      <c r="AC109" s="385"/>
      <c r="AD109" s="385"/>
      <c r="AE109" s="385"/>
      <c r="AF109" s="385"/>
      <c r="AG109" s="385"/>
      <c r="AH109" s="385"/>
      <c r="AI109" s="385"/>
      <c r="AJ109" s="385"/>
    </row>
    <row r="110" ht="14.25">
      <c r="A110" s="424" t="s">
        <v>181</v>
      </c>
    </row>
    <row r="111" ht="14.25">
      <c r="A111" s="424" t="s">
        <v>292</v>
      </c>
    </row>
    <row r="112" ht="14.25">
      <c r="A112" s="424" t="s">
        <v>323</v>
      </c>
    </row>
    <row r="113" ht="12.75">
      <c r="A113" s="424"/>
    </row>
    <row r="150" ht="12.75">
      <c r="Z150" s="352" t="s">
        <v>265</v>
      </c>
    </row>
  </sheetData>
  <sheetProtection/>
  <mergeCells count="6">
    <mergeCell ref="A5:AB5"/>
    <mergeCell ref="A7:AB7"/>
    <mergeCell ref="A74:B74"/>
    <mergeCell ref="A88:B88"/>
    <mergeCell ref="A105:B105"/>
    <mergeCell ref="A107:B107"/>
  </mergeCells>
  <printOptions horizontalCentered="1" verticalCentered="1"/>
  <pageMargins left="0.7874015748031497" right="0.3937007874015748" top="0.3937007874015748" bottom="0.3937007874015748" header="0" footer="0"/>
  <pageSetup fitToHeight="1" fitToWidth="1" horizontalDpi="600" verticalDpi="600" orientation="landscape" paperSize="9" scale="34" r:id="rId1"/>
  <ignoredErrors>
    <ignoredError sqref="T88:Y88 Z88:AA88 M88:S88 Z105:AA105 M105:Y105 G74 J74 K74:T74 H105:L105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6:BK61"/>
  <sheetViews>
    <sheetView showGridLines="0" view="pageBreakPreview" zoomScale="115" zoomScaleNormal="85" zoomScaleSheetLayoutView="115" zoomScalePageLayoutView="0" workbookViewId="0" topLeftCell="A1">
      <pane xSplit="2" ySplit="8" topLeftCell="W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B52" sqref="AB52"/>
    </sheetView>
  </sheetViews>
  <sheetFormatPr defaultColWidth="11.421875" defaultRowHeight="12.75"/>
  <cols>
    <col min="1" max="1" width="5.28125" style="352" customWidth="1"/>
    <col min="2" max="2" width="72.8515625" style="352" customWidth="1"/>
    <col min="3" max="3" width="11.7109375" style="352" hidden="1" customWidth="1"/>
    <col min="4" max="4" width="11.28125" style="352" hidden="1" customWidth="1"/>
    <col min="5" max="7" width="11.57421875" style="352" hidden="1" customWidth="1"/>
    <col min="8" max="11" width="11.57421875" style="352" customWidth="1"/>
    <col min="12" max="20" width="10.28125" style="352" customWidth="1"/>
    <col min="21" max="21" width="15.28125" style="352" customWidth="1"/>
    <col min="22" max="22" width="12.00390625" style="352" customWidth="1"/>
    <col min="23" max="27" width="11.8515625" style="352" customWidth="1"/>
    <col min="28" max="28" width="15.7109375" style="352" customWidth="1"/>
    <col min="29" max="32" width="11.421875" style="352" customWidth="1"/>
    <col min="33" max="33" width="14.00390625" style="352" customWidth="1"/>
    <col min="34" max="34" width="37.7109375" style="352" customWidth="1"/>
    <col min="35" max="16384" width="11.421875" style="352" customWidth="1"/>
  </cols>
  <sheetData>
    <row r="6" spans="1:28" ht="18">
      <c r="A6" s="1321" t="s">
        <v>319</v>
      </c>
      <c r="B6" s="1321"/>
      <c r="C6" s="1321"/>
      <c r="D6" s="1321"/>
      <c r="E6" s="1321"/>
      <c r="F6" s="1321"/>
      <c r="G6" s="1321"/>
      <c r="H6" s="1321"/>
      <c r="I6" s="1321"/>
      <c r="J6" s="1321"/>
      <c r="K6" s="1321"/>
      <c r="L6" s="1321"/>
      <c r="M6" s="1321"/>
      <c r="N6" s="1321"/>
      <c r="O6" s="1321"/>
      <c r="P6" s="1321"/>
      <c r="Q6" s="1321"/>
      <c r="R6" s="1321"/>
      <c r="S6" s="1321"/>
      <c r="T6" s="1321"/>
      <c r="U6" s="1321"/>
      <c r="V6" s="1321"/>
      <c r="W6" s="1321"/>
      <c r="X6" s="1321"/>
      <c r="Y6" s="1321"/>
      <c r="Z6" s="1321"/>
      <c r="AA6" s="1321"/>
      <c r="AB6" s="1321"/>
    </row>
    <row r="7" spans="1:28" ht="18.75" thickBot="1">
      <c r="A7" s="431"/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</row>
    <row r="8" spans="1:36" s="354" customFormat="1" ht="16.5" thickBot="1">
      <c r="A8" s="1067" t="s">
        <v>120</v>
      </c>
      <c r="B8" s="1068" t="s">
        <v>121</v>
      </c>
      <c r="C8" s="1206">
        <v>1990</v>
      </c>
      <c r="D8" s="1207">
        <v>1991</v>
      </c>
      <c r="E8" s="1207">
        <v>1992</v>
      </c>
      <c r="F8" s="1207">
        <v>1993</v>
      </c>
      <c r="G8" s="1207">
        <v>1994</v>
      </c>
      <c r="H8" s="1207">
        <v>1995</v>
      </c>
      <c r="I8" s="1207">
        <v>1996</v>
      </c>
      <c r="J8" s="1207">
        <v>1997</v>
      </c>
      <c r="K8" s="1207">
        <v>1998</v>
      </c>
      <c r="L8" s="1207">
        <v>1999</v>
      </c>
      <c r="M8" s="1206">
        <v>2000</v>
      </c>
      <c r="N8" s="1206">
        <v>2001</v>
      </c>
      <c r="O8" s="1206">
        <v>2002</v>
      </c>
      <c r="P8" s="1206">
        <v>2003</v>
      </c>
      <c r="Q8" s="1206">
        <v>2004</v>
      </c>
      <c r="R8" s="1206">
        <v>2005</v>
      </c>
      <c r="S8" s="1206">
        <v>2006</v>
      </c>
      <c r="T8" s="1206">
        <v>2007</v>
      </c>
      <c r="U8" s="1206">
        <v>2008</v>
      </c>
      <c r="V8" s="1208">
        <v>2009</v>
      </c>
      <c r="W8" s="1206">
        <v>2010</v>
      </c>
      <c r="X8" s="1206">
        <v>2011</v>
      </c>
      <c r="Y8" s="1206">
        <v>2012</v>
      </c>
      <c r="Z8" s="1206">
        <v>2013</v>
      </c>
      <c r="AA8" s="1208">
        <v>2014</v>
      </c>
      <c r="AB8" s="1209" t="s">
        <v>0</v>
      </c>
      <c r="AC8" s="353"/>
      <c r="AD8" s="353"/>
      <c r="AE8" s="353"/>
      <c r="AF8" s="353"/>
      <c r="AG8" s="353"/>
      <c r="AH8" s="353"/>
      <c r="AI8" s="353"/>
      <c r="AJ8" s="353"/>
    </row>
    <row r="9" spans="1:36" s="337" customFormat="1" ht="14.25">
      <c r="A9" s="432">
        <v>1</v>
      </c>
      <c r="B9" s="433" t="s">
        <v>182</v>
      </c>
      <c r="C9" s="434"/>
      <c r="D9" s="434"/>
      <c r="E9" s="434"/>
      <c r="F9" s="434"/>
      <c r="G9" s="434"/>
      <c r="H9" s="434">
        <v>198</v>
      </c>
      <c r="I9" s="434">
        <v>1167</v>
      </c>
      <c r="J9" s="435">
        <v>1015</v>
      </c>
      <c r="K9" s="435">
        <v>467</v>
      </c>
      <c r="L9" s="434">
        <v>3786.197</v>
      </c>
      <c r="M9" s="436">
        <v>2922</v>
      </c>
      <c r="N9" s="434">
        <v>949.16</v>
      </c>
      <c r="O9" s="435"/>
      <c r="P9" s="435"/>
      <c r="Q9" s="434"/>
      <c r="R9" s="435"/>
      <c r="S9" s="435"/>
      <c r="T9" s="435"/>
      <c r="U9" s="435"/>
      <c r="V9" s="435"/>
      <c r="W9" s="434"/>
      <c r="X9" s="434"/>
      <c r="Y9" s="434">
        <v>8636</v>
      </c>
      <c r="Z9" s="434"/>
      <c r="AA9" s="434"/>
      <c r="AB9" s="437">
        <f>SUM(H9:AA9)</f>
        <v>19140.357</v>
      </c>
      <c r="AC9" s="371"/>
      <c r="AD9" s="371"/>
      <c r="AE9" s="371"/>
      <c r="AF9" s="371"/>
      <c r="AG9" s="371"/>
      <c r="AH9" s="372"/>
      <c r="AI9" s="373"/>
      <c r="AJ9" s="372"/>
    </row>
    <row r="10" spans="1:36" s="337" customFormat="1" ht="14.25">
      <c r="A10" s="438">
        <f aca="true" t="shared" si="0" ref="A10:A16">A9+1</f>
        <v>2</v>
      </c>
      <c r="B10" s="439" t="s">
        <v>183</v>
      </c>
      <c r="C10" s="440">
        <v>488</v>
      </c>
      <c r="D10" s="440">
        <v>16018</v>
      </c>
      <c r="E10" s="440">
        <v>16956</v>
      </c>
      <c r="F10" s="440">
        <v>19043</v>
      </c>
      <c r="G10" s="440"/>
      <c r="H10" s="440"/>
      <c r="I10" s="440"/>
      <c r="J10" s="439"/>
      <c r="K10" s="439"/>
      <c r="L10" s="439"/>
      <c r="M10" s="441"/>
      <c r="N10" s="439"/>
      <c r="O10" s="442"/>
      <c r="P10" s="442"/>
      <c r="Q10" s="439"/>
      <c r="R10" s="442"/>
      <c r="S10" s="442"/>
      <c r="T10" s="442"/>
      <c r="U10" s="442"/>
      <c r="V10" s="442"/>
      <c r="W10" s="440"/>
      <c r="X10" s="440"/>
      <c r="Y10" s="440"/>
      <c r="Z10" s="440"/>
      <c r="AA10" s="440"/>
      <c r="AB10" s="443">
        <f aca="true" t="shared" si="1" ref="AB10:AB16">SUM(H10:AA10)</f>
        <v>0</v>
      </c>
      <c r="AC10" s="371"/>
      <c r="AD10" s="372"/>
      <c r="AE10" s="372"/>
      <c r="AF10" s="372"/>
      <c r="AG10" s="371"/>
      <c r="AH10" s="372"/>
      <c r="AI10" s="373"/>
      <c r="AJ10" s="372"/>
    </row>
    <row r="11" spans="1:36" s="337" customFormat="1" ht="14.25">
      <c r="A11" s="438">
        <f t="shared" si="0"/>
        <v>3</v>
      </c>
      <c r="B11" s="439" t="s">
        <v>184</v>
      </c>
      <c r="C11" s="440">
        <v>42220</v>
      </c>
      <c r="D11" s="440">
        <v>11497</v>
      </c>
      <c r="E11" s="440">
        <v>54215</v>
      </c>
      <c r="F11" s="440">
        <v>49330</v>
      </c>
      <c r="G11" s="440">
        <v>22137</v>
      </c>
      <c r="H11" s="440">
        <v>23670</v>
      </c>
      <c r="I11" s="440">
        <v>26810</v>
      </c>
      <c r="J11" s="440">
        <v>39439</v>
      </c>
      <c r="K11" s="440">
        <v>14521.72</v>
      </c>
      <c r="L11" s="440">
        <v>19313.91</v>
      </c>
      <c r="M11" s="444">
        <v>20688</v>
      </c>
      <c r="N11" s="440">
        <v>3172</v>
      </c>
      <c r="O11" s="445">
        <v>4468</v>
      </c>
      <c r="P11" s="445">
        <v>4113</v>
      </c>
      <c r="Q11" s="440">
        <v>2654</v>
      </c>
      <c r="R11" s="445">
        <v>4050</v>
      </c>
      <c r="S11" s="445">
        <v>3700</v>
      </c>
      <c r="T11" s="445">
        <v>5020</v>
      </c>
      <c r="U11" s="445">
        <v>5389</v>
      </c>
      <c r="V11" s="445">
        <v>4644</v>
      </c>
      <c r="W11" s="440">
        <v>6840</v>
      </c>
      <c r="X11" s="440">
        <v>8665</v>
      </c>
      <c r="Y11" s="440"/>
      <c r="Z11" s="440">
        <v>14257</v>
      </c>
      <c r="AA11" s="440">
        <v>31853</v>
      </c>
      <c r="AB11" s="443">
        <f t="shared" si="1"/>
        <v>243267.63</v>
      </c>
      <c r="AC11" s="371"/>
      <c r="AD11" s="372"/>
      <c r="AE11" s="372"/>
      <c r="AF11" s="372"/>
      <c r="AG11" s="371"/>
      <c r="AH11" s="372"/>
      <c r="AI11" s="372"/>
      <c r="AJ11" s="372"/>
    </row>
    <row r="12" spans="1:41" s="337" customFormat="1" ht="14.25">
      <c r="A12" s="438">
        <f t="shared" si="0"/>
        <v>4</v>
      </c>
      <c r="B12" s="439" t="s">
        <v>185</v>
      </c>
      <c r="C12" s="440"/>
      <c r="D12" s="440"/>
      <c r="E12" s="440"/>
      <c r="F12" s="440"/>
      <c r="G12" s="440"/>
      <c r="H12" s="440"/>
      <c r="I12" s="440"/>
      <c r="J12" s="439"/>
      <c r="K12" s="440">
        <v>10360</v>
      </c>
      <c r="L12" s="440">
        <v>25640</v>
      </c>
      <c r="M12" s="444">
        <v>21600</v>
      </c>
      <c r="N12" s="440">
        <v>47602</v>
      </c>
      <c r="O12" s="445">
        <v>67261</v>
      </c>
      <c r="P12" s="445">
        <v>58696</v>
      </c>
      <c r="Q12" s="440">
        <v>56334</v>
      </c>
      <c r="R12" s="445">
        <v>41292</v>
      </c>
      <c r="S12" s="445">
        <v>20787</v>
      </c>
      <c r="T12" s="445">
        <v>57192</v>
      </c>
      <c r="U12" s="445">
        <v>2055</v>
      </c>
      <c r="V12" s="445">
        <v>0</v>
      </c>
      <c r="W12" s="440">
        <v>0</v>
      </c>
      <c r="X12" s="440">
        <v>0</v>
      </c>
      <c r="Y12" s="440"/>
      <c r="Z12" s="440"/>
      <c r="AA12" s="440"/>
      <c r="AB12" s="443">
        <f t="shared" si="1"/>
        <v>408819</v>
      </c>
      <c r="AC12" s="371"/>
      <c r="AD12" s="371"/>
      <c r="AE12" s="371"/>
      <c r="AF12" s="371"/>
      <c r="AG12" s="371"/>
      <c r="AH12" s="371"/>
      <c r="AI12" s="373"/>
      <c r="AJ12" s="371"/>
      <c r="AL12" s="409"/>
      <c r="AM12" s="409"/>
      <c r="AN12" s="409"/>
      <c r="AO12" s="409"/>
    </row>
    <row r="13" spans="1:36" s="337" customFormat="1" ht="14.25">
      <c r="A13" s="438">
        <f t="shared" si="0"/>
        <v>5</v>
      </c>
      <c r="B13" s="439" t="s">
        <v>186</v>
      </c>
      <c r="C13" s="440"/>
      <c r="D13" s="440"/>
      <c r="E13" s="440"/>
      <c r="F13" s="440"/>
      <c r="G13" s="440">
        <v>2796.67</v>
      </c>
      <c r="H13" s="440">
        <v>1495.71</v>
      </c>
      <c r="I13" s="440">
        <v>4194.2</v>
      </c>
      <c r="J13" s="440">
        <v>6890.29</v>
      </c>
      <c r="K13" s="440">
        <v>29741.5</v>
      </c>
      <c r="L13" s="440">
        <v>31716.54</v>
      </c>
      <c r="M13" s="444">
        <v>17715</v>
      </c>
      <c r="N13" s="440">
        <v>2532</v>
      </c>
      <c r="O13" s="445">
        <v>344</v>
      </c>
      <c r="P13" s="445">
        <v>1470.05</v>
      </c>
      <c r="Q13" s="440">
        <v>6350.94</v>
      </c>
      <c r="R13" s="445">
        <v>6560.7</v>
      </c>
      <c r="S13" s="445">
        <v>3250.88</v>
      </c>
      <c r="T13" s="445">
        <v>9585</v>
      </c>
      <c r="U13" s="445">
        <v>10729</v>
      </c>
      <c r="V13" s="445">
        <v>25289</v>
      </c>
      <c r="W13" s="440">
        <v>5465</v>
      </c>
      <c r="X13" s="440">
        <v>1454</v>
      </c>
      <c r="Y13" s="440">
        <v>25</v>
      </c>
      <c r="Z13" s="440">
        <v>255</v>
      </c>
      <c r="AA13" s="440">
        <v>143.62</v>
      </c>
      <c r="AB13" s="443">
        <f t="shared" si="1"/>
        <v>165207.43</v>
      </c>
      <c r="AC13" s="371"/>
      <c r="AD13" s="371"/>
      <c r="AE13" s="371"/>
      <c r="AF13" s="371"/>
      <c r="AG13" s="371"/>
      <c r="AH13" s="371"/>
      <c r="AI13" s="371"/>
      <c r="AJ13" s="371"/>
    </row>
    <row r="14" spans="1:36" s="337" customFormat="1" ht="14.25">
      <c r="A14" s="438">
        <f t="shared" si="0"/>
        <v>6</v>
      </c>
      <c r="B14" s="439" t="s">
        <v>187</v>
      </c>
      <c r="C14" s="440"/>
      <c r="D14" s="440"/>
      <c r="E14" s="440"/>
      <c r="F14" s="440"/>
      <c r="G14" s="440"/>
      <c r="H14" s="440">
        <v>72</v>
      </c>
      <c r="I14" s="440">
        <v>227</v>
      </c>
      <c r="J14" s="440">
        <v>1362</v>
      </c>
      <c r="K14" s="440">
        <v>5878</v>
      </c>
      <c r="L14" s="440">
        <v>3425</v>
      </c>
      <c r="M14" s="444">
        <v>985</v>
      </c>
      <c r="N14" s="440">
        <v>1415.92</v>
      </c>
      <c r="O14" s="445">
        <v>636</v>
      </c>
      <c r="P14" s="445">
        <v>219.38</v>
      </c>
      <c r="Q14" s="440">
        <v>188.28</v>
      </c>
      <c r="R14" s="445">
        <v>227.23</v>
      </c>
      <c r="S14" s="445">
        <v>254.26</v>
      </c>
      <c r="T14" s="445">
        <v>224.84</v>
      </c>
      <c r="U14" s="445">
        <v>4992</v>
      </c>
      <c r="V14" s="445">
        <v>4537</v>
      </c>
      <c r="W14" s="440">
        <v>1212</v>
      </c>
      <c r="X14" s="440">
        <v>158.39999999999998</v>
      </c>
      <c r="Y14" s="440">
        <v>342</v>
      </c>
      <c r="Z14" s="440">
        <v>544</v>
      </c>
      <c r="AA14" s="440">
        <v>161.2</v>
      </c>
      <c r="AB14" s="443">
        <f t="shared" si="1"/>
        <v>27061.510000000002</v>
      </c>
      <c r="AC14" s="371"/>
      <c r="AD14" s="372"/>
      <c r="AE14" s="372"/>
      <c r="AF14" s="372"/>
      <c r="AG14" s="372"/>
      <c r="AH14" s="372"/>
      <c r="AI14" s="372"/>
      <c r="AJ14" s="372"/>
    </row>
    <row r="15" spans="1:36" s="337" customFormat="1" ht="14.25">
      <c r="A15" s="438">
        <f t="shared" si="0"/>
        <v>7</v>
      </c>
      <c r="B15" s="439" t="s">
        <v>188</v>
      </c>
      <c r="C15" s="440"/>
      <c r="D15" s="440"/>
      <c r="E15" s="440"/>
      <c r="F15" s="440"/>
      <c r="G15" s="440">
        <v>3135.343</v>
      </c>
      <c r="H15" s="440">
        <v>4517.092</v>
      </c>
      <c r="I15" s="440">
        <v>2891.973</v>
      </c>
      <c r="J15" s="440">
        <v>4895.327</v>
      </c>
      <c r="K15" s="440">
        <v>5062.016</v>
      </c>
      <c r="L15" s="440">
        <v>13311.813</v>
      </c>
      <c r="M15" s="444">
        <v>34590</v>
      </c>
      <c r="N15" s="440">
        <v>12855</v>
      </c>
      <c r="O15" s="445">
        <v>4446</v>
      </c>
      <c r="P15" s="445">
        <v>1893.07</v>
      </c>
      <c r="Q15" s="440">
        <v>567</v>
      </c>
      <c r="R15" s="445">
        <v>1179.57</v>
      </c>
      <c r="S15" s="445">
        <v>126.01</v>
      </c>
      <c r="T15" s="445">
        <v>710.51</v>
      </c>
      <c r="U15" s="445">
        <v>2239</v>
      </c>
      <c r="V15" s="445">
        <v>53923</v>
      </c>
      <c r="W15" s="440">
        <v>8801</v>
      </c>
      <c r="X15" s="440">
        <v>16560</v>
      </c>
      <c r="Y15" s="440">
        <v>23215</v>
      </c>
      <c r="Z15" s="440">
        <v>45806.8</v>
      </c>
      <c r="AA15" s="440">
        <v>25096.2</v>
      </c>
      <c r="AB15" s="443">
        <f t="shared" si="1"/>
        <v>262686.381</v>
      </c>
      <c r="AC15" s="371"/>
      <c r="AD15" s="372"/>
      <c r="AE15" s="372"/>
      <c r="AF15" s="372"/>
      <c r="AG15" s="372"/>
      <c r="AH15" s="372"/>
      <c r="AI15" s="372"/>
      <c r="AJ15" s="372"/>
    </row>
    <row r="16" spans="1:36" s="337" customFormat="1" ht="15" thickBot="1">
      <c r="A16" s="446">
        <f t="shared" si="0"/>
        <v>8</v>
      </c>
      <c r="B16" s="447" t="s">
        <v>189</v>
      </c>
      <c r="C16" s="448"/>
      <c r="D16" s="448"/>
      <c r="E16" s="448"/>
      <c r="F16" s="448"/>
      <c r="G16" s="448">
        <v>6458.715</v>
      </c>
      <c r="H16" s="448">
        <v>8465.307</v>
      </c>
      <c r="I16" s="448">
        <v>29977.264</v>
      </c>
      <c r="J16" s="448">
        <v>49635.559</v>
      </c>
      <c r="K16" s="448">
        <v>48508.877</v>
      </c>
      <c r="L16" s="448">
        <v>39138.449</v>
      </c>
      <c r="M16" s="449">
        <v>24716</v>
      </c>
      <c r="N16" s="448">
        <v>7751</v>
      </c>
      <c r="O16" s="450">
        <v>643</v>
      </c>
      <c r="P16" s="450">
        <v>714</v>
      </c>
      <c r="Q16" s="448">
        <v>907</v>
      </c>
      <c r="R16" s="450">
        <v>457.21</v>
      </c>
      <c r="S16" s="450">
        <v>1079.77</v>
      </c>
      <c r="T16" s="450">
        <v>766.95</v>
      </c>
      <c r="U16" s="450">
        <v>1109</v>
      </c>
      <c r="V16" s="450">
        <v>456</v>
      </c>
      <c r="W16" s="448">
        <v>2796</v>
      </c>
      <c r="X16" s="448">
        <v>1758.3</v>
      </c>
      <c r="Y16" s="448">
        <v>3062</v>
      </c>
      <c r="Z16" s="448">
        <v>4352</v>
      </c>
      <c r="AA16" s="448">
        <v>4836.5</v>
      </c>
      <c r="AB16" s="451">
        <f t="shared" si="1"/>
        <v>231130.186</v>
      </c>
      <c r="AC16" s="371"/>
      <c r="AD16" s="371"/>
      <c r="AE16" s="371"/>
      <c r="AF16" s="372"/>
      <c r="AG16" s="371"/>
      <c r="AH16" s="372"/>
      <c r="AI16" s="372"/>
      <c r="AJ16" s="372"/>
    </row>
    <row r="17" spans="1:36" s="337" customFormat="1" ht="15" thickBot="1">
      <c r="A17" s="1328" t="s">
        <v>0</v>
      </c>
      <c r="B17" s="1329"/>
      <c r="C17" s="452">
        <f aca="true" t="shared" si="2" ref="C17:S17">SUM(C9:C16)</f>
        <v>42708</v>
      </c>
      <c r="D17" s="452">
        <f t="shared" si="2"/>
        <v>27515</v>
      </c>
      <c r="E17" s="452">
        <f t="shared" si="2"/>
        <v>71171</v>
      </c>
      <c r="F17" s="452">
        <f t="shared" si="2"/>
        <v>68373</v>
      </c>
      <c r="G17" s="452">
        <f t="shared" si="2"/>
        <v>34527.728</v>
      </c>
      <c r="H17" s="452">
        <f t="shared" si="2"/>
        <v>38418.109</v>
      </c>
      <c r="I17" s="452">
        <f t="shared" si="2"/>
        <v>65267.437000000005</v>
      </c>
      <c r="J17" s="452">
        <f t="shared" si="2"/>
        <v>103237.176</v>
      </c>
      <c r="K17" s="452">
        <f t="shared" si="2"/>
        <v>114539.11300000001</v>
      </c>
      <c r="L17" s="452">
        <f t="shared" si="2"/>
        <v>136331.90899999999</v>
      </c>
      <c r="M17" s="452">
        <f t="shared" si="2"/>
        <v>123216</v>
      </c>
      <c r="N17" s="452">
        <f t="shared" si="2"/>
        <v>76277.08</v>
      </c>
      <c r="O17" s="453">
        <f t="shared" si="2"/>
        <v>77798</v>
      </c>
      <c r="P17" s="453">
        <f t="shared" si="2"/>
        <v>67105.5</v>
      </c>
      <c r="Q17" s="452">
        <f t="shared" si="2"/>
        <v>67001.22</v>
      </c>
      <c r="R17" s="453">
        <f t="shared" si="2"/>
        <v>53766.71</v>
      </c>
      <c r="S17" s="453">
        <f t="shared" si="2"/>
        <v>29197.92</v>
      </c>
      <c r="T17" s="453">
        <f aca="true" t="shared" si="3" ref="T17:AB17">SUM(T9:T16)</f>
        <v>73499.29999999999</v>
      </c>
      <c r="U17" s="453">
        <f t="shared" si="3"/>
        <v>26513</v>
      </c>
      <c r="V17" s="453">
        <f t="shared" si="3"/>
        <v>88849</v>
      </c>
      <c r="W17" s="452">
        <f t="shared" si="3"/>
        <v>25114</v>
      </c>
      <c r="X17" s="452">
        <f t="shared" si="3"/>
        <v>28595.7</v>
      </c>
      <c r="Y17" s="452">
        <f t="shared" si="3"/>
        <v>35280</v>
      </c>
      <c r="Z17" s="452">
        <f>SUM(Z9:Z16)</f>
        <v>65214.8</v>
      </c>
      <c r="AA17" s="452">
        <f>SUM(AA9:AA16)</f>
        <v>62090.520000000004</v>
      </c>
      <c r="AB17" s="454">
        <f t="shared" si="3"/>
        <v>1357312.494</v>
      </c>
      <c r="AC17" s="361"/>
      <c r="AD17" s="371"/>
      <c r="AE17" s="371"/>
      <c r="AF17" s="372"/>
      <c r="AG17" s="371"/>
      <c r="AH17" s="372"/>
      <c r="AI17" s="372"/>
      <c r="AJ17" s="372"/>
    </row>
    <row r="18" spans="1:36" s="337" customFormat="1" ht="14.25">
      <c r="A18" s="479" t="s">
        <v>203</v>
      </c>
      <c r="B18" s="386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9"/>
      <c r="AC18" s="361"/>
      <c r="AD18" s="371"/>
      <c r="AE18" s="371"/>
      <c r="AF18" s="372"/>
      <c r="AG18" s="371"/>
      <c r="AH18" s="372"/>
      <c r="AI18" s="372"/>
      <c r="AJ18" s="372"/>
    </row>
    <row r="19" spans="1:36" s="337" customFormat="1" ht="15" thickBot="1">
      <c r="A19" s="479"/>
      <c r="B19" s="386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9"/>
      <c r="AC19" s="361"/>
      <c r="AD19" s="371"/>
      <c r="AE19" s="371"/>
      <c r="AF19" s="372"/>
      <c r="AG19" s="371"/>
      <c r="AH19" s="372"/>
      <c r="AI19" s="372"/>
      <c r="AJ19" s="372"/>
    </row>
    <row r="20" spans="1:63" s="337" customFormat="1" ht="15.75" thickBot="1">
      <c r="A20" s="1067" t="s">
        <v>120</v>
      </c>
      <c r="B20" s="1068" t="s">
        <v>157</v>
      </c>
      <c r="C20" s="1206"/>
      <c r="D20" s="1207"/>
      <c r="E20" s="1207"/>
      <c r="F20" s="1207"/>
      <c r="G20" s="1207"/>
      <c r="H20" s="1207"/>
      <c r="I20" s="1207"/>
      <c r="J20" s="1207"/>
      <c r="K20" s="1207"/>
      <c r="L20" s="1207"/>
      <c r="M20" s="1206"/>
      <c r="N20" s="1206"/>
      <c r="O20" s="1206"/>
      <c r="P20" s="1206"/>
      <c r="Q20" s="1206"/>
      <c r="R20" s="1206"/>
      <c r="S20" s="1206"/>
      <c r="T20" s="1206"/>
      <c r="U20" s="1206"/>
      <c r="V20" s="1208"/>
      <c r="W20" s="1206"/>
      <c r="X20" s="1206"/>
      <c r="Y20" s="1207"/>
      <c r="Z20" s="1207"/>
      <c r="AA20" s="1207"/>
      <c r="AB20" s="1209"/>
      <c r="AC20" s="371"/>
      <c r="AD20" s="371"/>
      <c r="AE20" s="371"/>
      <c r="AF20" s="371"/>
      <c r="AG20" s="372"/>
      <c r="AH20" s="371"/>
      <c r="AI20" s="371"/>
      <c r="AJ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371"/>
      <c r="BC20" s="371"/>
      <c r="BD20" s="371"/>
      <c r="BE20" s="371"/>
      <c r="BF20" s="371"/>
      <c r="BG20" s="371"/>
      <c r="BH20" s="371"/>
      <c r="BI20" s="371"/>
      <c r="BJ20" s="371"/>
      <c r="BK20" s="371"/>
    </row>
    <row r="21" spans="1:36" s="337" customFormat="1" ht="14.25">
      <c r="A21" s="432">
        <v>1</v>
      </c>
      <c r="B21" s="433" t="s">
        <v>183</v>
      </c>
      <c r="C21" s="434">
        <v>3818</v>
      </c>
      <c r="D21" s="434">
        <v>2275</v>
      </c>
      <c r="E21" s="434">
        <v>9828</v>
      </c>
      <c r="F21" s="434">
        <v>12900</v>
      </c>
      <c r="G21" s="455"/>
      <c r="H21" s="455"/>
      <c r="I21" s="455"/>
      <c r="J21" s="455"/>
      <c r="K21" s="455"/>
      <c r="L21" s="455"/>
      <c r="M21" s="456"/>
      <c r="N21" s="455"/>
      <c r="O21" s="457"/>
      <c r="P21" s="457"/>
      <c r="Q21" s="455"/>
      <c r="R21" s="457"/>
      <c r="S21" s="457"/>
      <c r="T21" s="457"/>
      <c r="U21" s="457"/>
      <c r="V21" s="457"/>
      <c r="W21" s="434"/>
      <c r="X21" s="434"/>
      <c r="Y21" s="434"/>
      <c r="Z21" s="434"/>
      <c r="AA21" s="434"/>
      <c r="AB21" s="458">
        <f>SUM(H21:AA21)</f>
        <v>0</v>
      </c>
      <c r="AC21" s="371"/>
      <c r="AD21" s="371"/>
      <c r="AE21" s="371"/>
      <c r="AF21" s="372"/>
      <c r="AG21" s="371"/>
      <c r="AH21" s="372"/>
      <c r="AI21" s="373"/>
      <c r="AJ21" s="372"/>
    </row>
    <row r="22" spans="1:36" s="337" customFormat="1" ht="14.25">
      <c r="A22" s="438">
        <f>A21+1</f>
        <v>2</v>
      </c>
      <c r="B22" s="439" t="s">
        <v>184</v>
      </c>
      <c r="C22" s="440">
        <v>83130</v>
      </c>
      <c r="D22" s="440">
        <v>61462</v>
      </c>
      <c r="E22" s="440">
        <v>8516</v>
      </c>
      <c r="F22" s="440">
        <v>329</v>
      </c>
      <c r="G22" s="459"/>
      <c r="H22" s="459"/>
      <c r="I22" s="459"/>
      <c r="J22" s="459"/>
      <c r="K22" s="459"/>
      <c r="L22" s="459"/>
      <c r="M22" s="460"/>
      <c r="N22" s="459"/>
      <c r="O22" s="461"/>
      <c r="P22" s="461"/>
      <c r="Q22" s="459"/>
      <c r="R22" s="461"/>
      <c r="S22" s="461"/>
      <c r="T22" s="461"/>
      <c r="U22" s="461"/>
      <c r="V22" s="461"/>
      <c r="W22" s="440"/>
      <c r="X22" s="440"/>
      <c r="Y22" s="440"/>
      <c r="Z22" s="440"/>
      <c r="AA22" s="440"/>
      <c r="AB22" s="462">
        <f>SUM(H22:AA22)</f>
        <v>0</v>
      </c>
      <c r="AC22" s="371"/>
      <c r="AD22" s="371"/>
      <c r="AE22" s="371"/>
      <c r="AF22" s="372"/>
      <c r="AG22" s="371"/>
      <c r="AH22" s="372"/>
      <c r="AI22" s="372"/>
      <c r="AJ22" s="372"/>
    </row>
    <row r="23" spans="1:36" s="337" customFormat="1" ht="14.25">
      <c r="A23" s="438">
        <f>A22+1</f>
        <v>3</v>
      </c>
      <c r="B23" s="439" t="s">
        <v>190</v>
      </c>
      <c r="C23" s="440"/>
      <c r="D23" s="440"/>
      <c r="E23" s="440"/>
      <c r="F23" s="440"/>
      <c r="G23" s="440">
        <v>336</v>
      </c>
      <c r="H23" s="440">
        <v>3788</v>
      </c>
      <c r="I23" s="440">
        <v>16601</v>
      </c>
      <c r="J23" s="439">
        <v>15579</v>
      </c>
      <c r="K23" s="440">
        <v>33390</v>
      </c>
      <c r="L23" s="440">
        <v>27311</v>
      </c>
      <c r="M23" s="444">
        <v>23275</v>
      </c>
      <c r="N23" s="440">
        <v>2644</v>
      </c>
      <c r="O23" s="445">
        <v>86</v>
      </c>
      <c r="P23" s="445"/>
      <c r="Q23" s="440"/>
      <c r="R23" s="445"/>
      <c r="S23" s="445"/>
      <c r="T23" s="445"/>
      <c r="U23" s="445"/>
      <c r="V23" s="445"/>
      <c r="W23" s="440"/>
      <c r="X23" s="440"/>
      <c r="Y23" s="440"/>
      <c r="Z23" s="440"/>
      <c r="AA23" s="440"/>
      <c r="AB23" s="462">
        <f>SUM(H23:AA23)</f>
        <v>122674</v>
      </c>
      <c r="AC23" s="371"/>
      <c r="AD23" s="371"/>
      <c r="AE23" s="371"/>
      <c r="AF23" s="371"/>
      <c r="AG23" s="371"/>
      <c r="AH23" s="372"/>
      <c r="AI23" s="373"/>
      <c r="AJ23" s="372"/>
    </row>
    <row r="24" spans="1:36" s="337" customFormat="1" ht="14.25">
      <c r="A24" s="438">
        <f>A23+1</f>
        <v>4</v>
      </c>
      <c r="B24" s="439" t="s">
        <v>191</v>
      </c>
      <c r="C24" s="440"/>
      <c r="D24" s="440"/>
      <c r="E24" s="440"/>
      <c r="F24" s="440"/>
      <c r="G24" s="440"/>
      <c r="H24" s="440">
        <v>7624.65</v>
      </c>
      <c r="I24" s="463">
        <v>0</v>
      </c>
      <c r="J24" s="440">
        <v>17141.78</v>
      </c>
      <c r="K24" s="440">
        <v>5738.37</v>
      </c>
      <c r="L24" s="440">
        <v>2322</v>
      </c>
      <c r="M24" s="444">
        <v>2992</v>
      </c>
      <c r="N24" s="440">
        <v>472</v>
      </c>
      <c r="O24" s="445">
        <v>281</v>
      </c>
      <c r="P24" s="445"/>
      <c r="Q24" s="440"/>
      <c r="R24" s="445"/>
      <c r="S24" s="445"/>
      <c r="T24" s="445"/>
      <c r="U24" s="445"/>
      <c r="V24" s="445"/>
      <c r="W24" s="440"/>
      <c r="X24" s="440"/>
      <c r="Y24" s="440"/>
      <c r="Z24" s="440"/>
      <c r="AA24" s="440"/>
      <c r="AB24" s="462">
        <f>SUM(H24:AA24)</f>
        <v>36571.8</v>
      </c>
      <c r="AC24" s="371"/>
      <c r="AD24" s="372"/>
      <c r="AE24" s="372"/>
      <c r="AF24" s="372"/>
      <c r="AG24" s="372"/>
      <c r="AH24" s="372"/>
      <c r="AI24" s="373"/>
      <c r="AJ24" s="372"/>
    </row>
    <row r="25" spans="1:36" s="337" customFormat="1" ht="15" thickBot="1">
      <c r="A25" s="446">
        <f>A24+1</f>
        <v>5</v>
      </c>
      <c r="B25" s="447" t="s">
        <v>192</v>
      </c>
      <c r="C25" s="448"/>
      <c r="D25" s="448"/>
      <c r="E25" s="448"/>
      <c r="F25" s="448"/>
      <c r="G25" s="448"/>
      <c r="H25" s="448"/>
      <c r="I25" s="464"/>
      <c r="J25" s="450"/>
      <c r="K25" s="450">
        <v>7026.9</v>
      </c>
      <c r="L25" s="448">
        <v>1684.9</v>
      </c>
      <c r="M25" s="449">
        <v>423</v>
      </c>
      <c r="N25" s="448"/>
      <c r="O25" s="450">
        <v>10</v>
      </c>
      <c r="P25" s="450"/>
      <c r="Q25" s="448"/>
      <c r="R25" s="450"/>
      <c r="S25" s="450"/>
      <c r="T25" s="450"/>
      <c r="U25" s="450"/>
      <c r="V25" s="450"/>
      <c r="W25" s="448"/>
      <c r="X25" s="448"/>
      <c r="Y25" s="448"/>
      <c r="Z25" s="448"/>
      <c r="AA25" s="448"/>
      <c r="AB25" s="465">
        <f>SUM(H25:AA25)</f>
        <v>9144.8</v>
      </c>
      <c r="AC25" s="371"/>
      <c r="AD25" s="372"/>
      <c r="AE25" s="372"/>
      <c r="AF25" s="372"/>
      <c r="AG25" s="372"/>
      <c r="AH25" s="372"/>
      <c r="AI25" s="372"/>
      <c r="AJ25" s="372"/>
    </row>
    <row r="26" spans="1:36" s="337" customFormat="1" ht="15" thickBot="1">
      <c r="A26" s="1330" t="s">
        <v>0</v>
      </c>
      <c r="B26" s="1331"/>
      <c r="C26" s="466">
        <f aca="true" t="shared" si="4" ref="C26:Y26">SUM(C21:C25)</f>
        <v>86948</v>
      </c>
      <c r="D26" s="466">
        <f t="shared" si="4"/>
        <v>63737</v>
      </c>
      <c r="E26" s="466">
        <f t="shared" si="4"/>
        <v>18344</v>
      </c>
      <c r="F26" s="466">
        <f t="shared" si="4"/>
        <v>13229</v>
      </c>
      <c r="G26" s="466">
        <f t="shared" si="4"/>
        <v>336</v>
      </c>
      <c r="H26" s="466">
        <f t="shared" si="4"/>
        <v>11412.65</v>
      </c>
      <c r="I26" s="466">
        <f t="shared" si="4"/>
        <v>16601</v>
      </c>
      <c r="J26" s="466">
        <f t="shared" si="4"/>
        <v>32720.78</v>
      </c>
      <c r="K26" s="466">
        <f t="shared" si="4"/>
        <v>46155.270000000004</v>
      </c>
      <c r="L26" s="466">
        <f t="shared" si="4"/>
        <v>31317.9</v>
      </c>
      <c r="M26" s="466">
        <f t="shared" si="4"/>
        <v>26690</v>
      </c>
      <c r="N26" s="466">
        <f t="shared" si="4"/>
        <v>3116</v>
      </c>
      <c r="O26" s="466">
        <f t="shared" si="4"/>
        <v>377</v>
      </c>
      <c r="P26" s="466">
        <f t="shared" si="4"/>
        <v>0</v>
      </c>
      <c r="Q26" s="466">
        <f t="shared" si="4"/>
        <v>0</v>
      </c>
      <c r="R26" s="466">
        <f t="shared" si="4"/>
        <v>0</v>
      </c>
      <c r="S26" s="466">
        <f t="shared" si="4"/>
        <v>0</v>
      </c>
      <c r="T26" s="466">
        <f t="shared" si="4"/>
        <v>0</v>
      </c>
      <c r="U26" s="466">
        <f t="shared" si="4"/>
        <v>0</v>
      </c>
      <c r="V26" s="466">
        <f t="shared" si="4"/>
        <v>0</v>
      </c>
      <c r="W26" s="466">
        <f t="shared" si="4"/>
        <v>0</v>
      </c>
      <c r="X26" s="466">
        <f t="shared" si="4"/>
        <v>0</v>
      </c>
      <c r="Y26" s="466">
        <f t="shared" si="4"/>
        <v>0</v>
      </c>
      <c r="Z26" s="466">
        <f>SUM(Z21:Z25)</f>
        <v>0</v>
      </c>
      <c r="AA26" s="466"/>
      <c r="AB26" s="467">
        <f>SUM(AB21:AB25)</f>
        <v>168390.59999999998</v>
      </c>
      <c r="AC26" s="371"/>
      <c r="AD26" s="372"/>
      <c r="AE26" s="372"/>
      <c r="AF26" s="372"/>
      <c r="AG26" s="372"/>
      <c r="AH26" s="372"/>
      <c r="AI26" s="373"/>
      <c r="AJ26" s="372"/>
    </row>
    <row r="27" spans="1:36" s="337" customFormat="1" ht="15" thickBot="1">
      <c r="A27" s="386"/>
      <c r="B27" s="386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9"/>
      <c r="AC27" s="371"/>
      <c r="AD27" s="372"/>
      <c r="AE27" s="372"/>
      <c r="AF27" s="372"/>
      <c r="AG27" s="372"/>
      <c r="AH27" s="372"/>
      <c r="AI27" s="373"/>
      <c r="AJ27" s="372"/>
    </row>
    <row r="28" spans="1:36" s="337" customFormat="1" ht="15.75" thickBot="1">
      <c r="A28" s="1067" t="s">
        <v>120</v>
      </c>
      <c r="B28" s="1068" t="s">
        <v>166</v>
      </c>
      <c r="C28" s="1206"/>
      <c r="D28" s="1207"/>
      <c r="E28" s="1207"/>
      <c r="F28" s="1207"/>
      <c r="G28" s="1207"/>
      <c r="H28" s="1207"/>
      <c r="I28" s="1207"/>
      <c r="J28" s="1207"/>
      <c r="K28" s="1207"/>
      <c r="L28" s="1207"/>
      <c r="M28" s="1206"/>
      <c r="N28" s="1206"/>
      <c r="O28" s="1206"/>
      <c r="P28" s="1206"/>
      <c r="Q28" s="1206"/>
      <c r="R28" s="1206"/>
      <c r="S28" s="1206"/>
      <c r="T28" s="1206"/>
      <c r="U28" s="1206"/>
      <c r="V28" s="1208"/>
      <c r="W28" s="1206"/>
      <c r="X28" s="1206"/>
      <c r="Y28" s="1207"/>
      <c r="Z28" s="1207"/>
      <c r="AA28" s="1207"/>
      <c r="AB28" s="1209"/>
      <c r="AC28" s="372"/>
      <c r="AD28" s="372"/>
      <c r="AE28" s="372"/>
      <c r="AF28" s="372"/>
      <c r="AG28" s="372"/>
      <c r="AH28" s="372"/>
      <c r="AI28" s="373"/>
      <c r="AJ28" s="372"/>
    </row>
    <row r="29" spans="1:36" s="337" customFormat="1" ht="14.25">
      <c r="A29" s="432">
        <v>1</v>
      </c>
      <c r="B29" s="433" t="s">
        <v>193</v>
      </c>
      <c r="C29" s="434">
        <v>339</v>
      </c>
      <c r="D29" s="434">
        <v>511</v>
      </c>
      <c r="E29" s="434">
        <v>15819</v>
      </c>
      <c r="F29" s="434">
        <v>10907</v>
      </c>
      <c r="G29" s="434">
        <v>1204.89</v>
      </c>
      <c r="H29" s="434">
        <v>676.69</v>
      </c>
      <c r="I29" s="435">
        <v>9951.74</v>
      </c>
      <c r="J29" s="435">
        <v>5901.74</v>
      </c>
      <c r="K29" s="435">
        <v>9297.98</v>
      </c>
      <c r="L29" s="434">
        <v>8135.25</v>
      </c>
      <c r="M29" s="436">
        <v>2339</v>
      </c>
      <c r="N29" s="434">
        <v>7706.03</v>
      </c>
      <c r="O29" s="434">
        <v>2338</v>
      </c>
      <c r="P29" s="435"/>
      <c r="Q29" s="434">
        <v>850.82</v>
      </c>
      <c r="R29" s="435">
        <v>2311.5</v>
      </c>
      <c r="S29" s="435">
        <v>4561.68</v>
      </c>
      <c r="T29" s="435">
        <v>6537.71</v>
      </c>
      <c r="U29" s="435">
        <v>16874</v>
      </c>
      <c r="V29" s="435">
        <v>29915</v>
      </c>
      <c r="W29" s="434">
        <v>9637</v>
      </c>
      <c r="X29" s="434">
        <v>3499</v>
      </c>
      <c r="Y29" s="434"/>
      <c r="Z29" s="434">
        <v>19210</v>
      </c>
      <c r="AA29" s="434"/>
      <c r="AB29" s="458">
        <f>SUM(H29:AA29)</f>
        <v>139743.13999999998</v>
      </c>
      <c r="AC29" s="371"/>
      <c r="AD29" s="372"/>
      <c r="AE29" s="372"/>
      <c r="AF29" s="372"/>
      <c r="AG29" s="372"/>
      <c r="AH29" s="372"/>
      <c r="AI29" s="373"/>
      <c r="AJ29" s="372"/>
    </row>
    <row r="30" spans="1:36" s="337" customFormat="1" ht="14.25">
      <c r="A30" s="438">
        <v>2</v>
      </c>
      <c r="B30" s="439" t="s">
        <v>194</v>
      </c>
      <c r="C30" s="440"/>
      <c r="D30" s="440"/>
      <c r="E30" s="440"/>
      <c r="F30" s="440"/>
      <c r="G30" s="440"/>
      <c r="H30" s="440"/>
      <c r="I30" s="445"/>
      <c r="J30" s="445"/>
      <c r="K30" s="445"/>
      <c r="L30" s="440"/>
      <c r="M30" s="444">
        <v>1161</v>
      </c>
      <c r="N30" s="440">
        <v>15.61</v>
      </c>
      <c r="O30" s="440">
        <v>482</v>
      </c>
      <c r="P30" s="445">
        <v>1207.8</v>
      </c>
      <c r="Q30" s="440">
        <v>204.39</v>
      </c>
      <c r="R30" s="445">
        <v>1279.82</v>
      </c>
      <c r="S30" s="445">
        <v>1214.73</v>
      </c>
      <c r="T30" s="445"/>
      <c r="U30" s="445">
        <v>342</v>
      </c>
      <c r="V30" s="445">
        <v>4681</v>
      </c>
      <c r="W30" s="440">
        <v>3427</v>
      </c>
      <c r="X30" s="440">
        <v>2040</v>
      </c>
      <c r="Y30" s="440">
        <v>7329</v>
      </c>
      <c r="Z30" s="440">
        <v>1480</v>
      </c>
      <c r="AA30" s="440"/>
      <c r="AB30" s="462">
        <f aca="true" t="shared" si="5" ref="AB30:AB42">SUM(H30:AA30)</f>
        <v>24864.35</v>
      </c>
      <c r="AC30" s="372"/>
      <c r="AD30" s="372"/>
      <c r="AE30" s="372"/>
      <c r="AF30" s="372"/>
      <c r="AG30" s="372"/>
      <c r="AH30" s="372"/>
      <c r="AI30" s="372"/>
      <c r="AJ30" s="372"/>
    </row>
    <row r="31" spans="1:36" s="337" customFormat="1" ht="14.25">
      <c r="A31" s="438">
        <v>3</v>
      </c>
      <c r="B31" s="439" t="s">
        <v>195</v>
      </c>
      <c r="C31" s="440">
        <f>7696-7696</f>
        <v>0</v>
      </c>
      <c r="D31" s="440">
        <f>8013-7879</f>
        <v>134</v>
      </c>
      <c r="E31" s="440">
        <f>7260-4093</f>
        <v>3167</v>
      </c>
      <c r="F31" s="440">
        <f>9798-3906</f>
        <v>5892</v>
      </c>
      <c r="G31" s="440">
        <v>6264.39</v>
      </c>
      <c r="H31" s="440">
        <v>48943.2</v>
      </c>
      <c r="I31" s="445">
        <v>17611.99</v>
      </c>
      <c r="J31" s="445">
        <v>22375.17</v>
      </c>
      <c r="K31" s="440">
        <v>26387.08</v>
      </c>
      <c r="L31" s="440">
        <v>16793.35</v>
      </c>
      <c r="M31" s="444">
        <v>2314</v>
      </c>
      <c r="N31" s="440">
        <v>2541.21</v>
      </c>
      <c r="O31" s="440">
        <v>2628</v>
      </c>
      <c r="P31" s="445">
        <v>2700.14</v>
      </c>
      <c r="Q31" s="440">
        <v>2588</v>
      </c>
      <c r="R31" s="445">
        <v>5481</v>
      </c>
      <c r="S31" s="445">
        <v>3691</v>
      </c>
      <c r="T31" s="445">
        <v>15301</v>
      </c>
      <c r="U31" s="445">
        <v>13048</v>
      </c>
      <c r="V31" s="445">
        <v>7654</v>
      </c>
      <c r="W31" s="440">
        <v>23471</v>
      </c>
      <c r="X31" s="440">
        <v>10435</v>
      </c>
      <c r="Y31" s="440">
        <v>15172</v>
      </c>
      <c r="Z31" s="440">
        <v>20135.100000000002</v>
      </c>
      <c r="AA31" s="440">
        <v>30592.7</v>
      </c>
      <c r="AB31" s="462">
        <f t="shared" si="5"/>
        <v>289862.94</v>
      </c>
      <c r="AC31" s="371"/>
      <c r="AD31" s="371"/>
      <c r="AE31" s="371"/>
      <c r="AF31" s="371"/>
      <c r="AG31" s="371"/>
      <c r="AH31" s="371"/>
      <c r="AI31" s="371"/>
      <c r="AJ31" s="372"/>
    </row>
    <row r="32" spans="1:36" s="337" customFormat="1" ht="14.25">
      <c r="A32" s="438">
        <v>4</v>
      </c>
      <c r="B32" s="439" t="s">
        <v>196</v>
      </c>
      <c r="C32" s="440">
        <f>7671-1328</f>
        <v>6343</v>
      </c>
      <c r="D32" s="440">
        <f>9110-1432</f>
        <v>7678</v>
      </c>
      <c r="E32" s="440">
        <f>6242-794</f>
        <v>5448</v>
      </c>
      <c r="F32" s="440">
        <f>4983-980</f>
        <v>4003</v>
      </c>
      <c r="G32" s="440">
        <v>1234</v>
      </c>
      <c r="H32" s="440">
        <v>5788</v>
      </c>
      <c r="I32" s="445">
        <v>10318</v>
      </c>
      <c r="J32" s="442"/>
      <c r="K32" s="439"/>
      <c r="L32" s="440"/>
      <c r="M32" s="444"/>
      <c r="N32" s="440"/>
      <c r="O32" s="440"/>
      <c r="P32" s="445"/>
      <c r="Q32" s="440"/>
      <c r="R32" s="445"/>
      <c r="S32" s="445"/>
      <c r="T32" s="445"/>
      <c r="U32" s="445"/>
      <c r="V32" s="445"/>
      <c r="W32" s="440"/>
      <c r="X32" s="440"/>
      <c r="Y32" s="440"/>
      <c r="Z32" s="440"/>
      <c r="AA32" s="440"/>
      <c r="AB32" s="462">
        <f t="shared" si="5"/>
        <v>16106</v>
      </c>
      <c r="AC32" s="372"/>
      <c r="AD32" s="372"/>
      <c r="AE32" s="372"/>
      <c r="AF32" s="372"/>
      <c r="AG32" s="372"/>
      <c r="AH32" s="372"/>
      <c r="AI32" s="372"/>
      <c r="AJ32" s="372"/>
    </row>
    <row r="33" spans="1:36" s="337" customFormat="1" ht="14.25">
      <c r="A33" s="438">
        <v>5</v>
      </c>
      <c r="B33" s="439" t="s">
        <v>197</v>
      </c>
      <c r="C33" s="440"/>
      <c r="D33" s="440"/>
      <c r="E33" s="440"/>
      <c r="F33" s="440"/>
      <c r="G33" s="440"/>
      <c r="H33" s="440"/>
      <c r="I33" s="445"/>
      <c r="J33" s="442"/>
      <c r="K33" s="439"/>
      <c r="L33" s="440"/>
      <c r="M33" s="444"/>
      <c r="N33" s="440"/>
      <c r="O33" s="440"/>
      <c r="P33" s="445"/>
      <c r="Q33" s="440"/>
      <c r="R33" s="445"/>
      <c r="S33" s="445"/>
      <c r="T33" s="445"/>
      <c r="U33" s="445"/>
      <c r="V33" s="445"/>
      <c r="W33" s="440"/>
      <c r="X33" s="440">
        <v>156</v>
      </c>
      <c r="Y33" s="440"/>
      <c r="Z33" s="440"/>
      <c r="AA33" s="440"/>
      <c r="AB33" s="462">
        <f t="shared" si="5"/>
        <v>156</v>
      </c>
      <c r="AC33" s="372"/>
      <c r="AD33" s="372"/>
      <c r="AE33" s="372"/>
      <c r="AF33" s="372"/>
      <c r="AG33" s="372"/>
      <c r="AH33" s="372"/>
      <c r="AI33" s="372"/>
      <c r="AJ33" s="372"/>
    </row>
    <row r="34" spans="1:36" s="337" customFormat="1" ht="14.25">
      <c r="A34" s="438">
        <v>6</v>
      </c>
      <c r="B34" s="439" t="s">
        <v>198</v>
      </c>
      <c r="C34" s="468"/>
      <c r="D34" s="440"/>
      <c r="E34" s="440"/>
      <c r="F34" s="440"/>
      <c r="G34" s="440"/>
      <c r="H34" s="440"/>
      <c r="I34" s="442"/>
      <c r="J34" s="442"/>
      <c r="K34" s="439"/>
      <c r="L34" s="440">
        <f>3793.009/3.38</f>
        <v>1122.1920118343196</v>
      </c>
      <c r="M34" s="444">
        <v>1363</v>
      </c>
      <c r="N34" s="440">
        <v>558.87</v>
      </c>
      <c r="O34" s="440">
        <v>337</v>
      </c>
      <c r="P34" s="445">
        <v>92.6</v>
      </c>
      <c r="Q34" s="440"/>
      <c r="R34" s="445">
        <v>338</v>
      </c>
      <c r="S34" s="445">
        <v>1272.76</v>
      </c>
      <c r="T34" s="445">
        <v>1531.09</v>
      </c>
      <c r="U34" s="445"/>
      <c r="V34" s="445">
        <v>3804</v>
      </c>
      <c r="W34" s="468">
        <v>2632</v>
      </c>
      <c r="X34" s="468">
        <v>6393</v>
      </c>
      <c r="Y34" s="468"/>
      <c r="Z34" s="468">
        <v>12629</v>
      </c>
      <c r="AA34" s="468"/>
      <c r="AB34" s="462">
        <f t="shared" si="5"/>
        <v>32073.51201183432</v>
      </c>
      <c r="AC34" s="372"/>
      <c r="AD34" s="372"/>
      <c r="AE34" s="372"/>
      <c r="AF34" s="372"/>
      <c r="AG34" s="372"/>
      <c r="AH34" s="372"/>
      <c r="AI34" s="372"/>
      <c r="AJ34" s="372"/>
    </row>
    <row r="35" spans="1:36" s="337" customFormat="1" ht="14.25">
      <c r="A35" s="438">
        <v>7</v>
      </c>
      <c r="B35" s="439" t="s">
        <v>170</v>
      </c>
      <c r="C35" s="440">
        <f>6588-6588</f>
        <v>0</v>
      </c>
      <c r="D35" s="440">
        <f>8756-7723</f>
        <v>1033</v>
      </c>
      <c r="E35" s="440">
        <f>10742-2386</f>
        <v>8356</v>
      </c>
      <c r="F35" s="440">
        <f>9851-2610</f>
        <v>7241</v>
      </c>
      <c r="G35" s="440">
        <v>7337</v>
      </c>
      <c r="H35" s="440">
        <v>11849</v>
      </c>
      <c r="I35" s="440">
        <v>17145</v>
      </c>
      <c r="J35" s="440">
        <v>6522</v>
      </c>
      <c r="K35" s="439"/>
      <c r="L35" s="440"/>
      <c r="M35" s="444"/>
      <c r="N35" s="440"/>
      <c r="O35" s="440">
        <v>3312</v>
      </c>
      <c r="P35" s="445">
        <v>15741</v>
      </c>
      <c r="Q35" s="440">
        <v>13218</v>
      </c>
      <c r="R35" s="445">
        <v>16103</v>
      </c>
      <c r="S35" s="445">
        <v>16699</v>
      </c>
      <c r="T35" s="445">
        <v>10091</v>
      </c>
      <c r="U35" s="445">
        <v>20851</v>
      </c>
      <c r="V35" s="445">
        <v>41043</v>
      </c>
      <c r="W35" s="440">
        <v>33261</v>
      </c>
      <c r="X35" s="440">
        <v>13306</v>
      </c>
      <c r="Y35" s="440">
        <v>13774</v>
      </c>
      <c r="Z35" s="440">
        <v>24315</v>
      </c>
      <c r="AA35" s="440">
        <v>24905.1</v>
      </c>
      <c r="AB35" s="462">
        <f t="shared" si="5"/>
        <v>282135.1</v>
      </c>
      <c r="AC35" s="371"/>
      <c r="AD35" s="371"/>
      <c r="AE35" s="371"/>
      <c r="AF35" s="372"/>
      <c r="AG35" s="372"/>
      <c r="AH35" s="372"/>
      <c r="AI35" s="372"/>
      <c r="AJ35" s="372"/>
    </row>
    <row r="36" spans="1:58" s="337" customFormat="1" ht="15">
      <c r="A36" s="438">
        <v>8</v>
      </c>
      <c r="B36" s="439" t="s">
        <v>183</v>
      </c>
      <c r="C36" s="440">
        <v>63</v>
      </c>
      <c r="D36" s="440">
        <v>12342</v>
      </c>
      <c r="E36" s="440">
        <v>21804</v>
      </c>
      <c r="F36" s="440">
        <v>24126</v>
      </c>
      <c r="G36" s="469"/>
      <c r="H36" s="469"/>
      <c r="I36" s="469"/>
      <c r="J36" s="469"/>
      <c r="K36" s="469"/>
      <c r="L36" s="469"/>
      <c r="M36" s="470"/>
      <c r="N36" s="469"/>
      <c r="O36" s="469"/>
      <c r="P36" s="471"/>
      <c r="Q36" s="469"/>
      <c r="R36" s="445"/>
      <c r="S36" s="445"/>
      <c r="T36" s="445"/>
      <c r="U36" s="445"/>
      <c r="V36" s="445"/>
      <c r="W36" s="440"/>
      <c r="X36" s="440"/>
      <c r="Y36" s="440"/>
      <c r="Z36" s="440"/>
      <c r="AA36" s="440"/>
      <c r="AB36" s="462">
        <f t="shared" si="5"/>
        <v>0</v>
      </c>
      <c r="AC36" s="371"/>
      <c r="AD36" s="371"/>
      <c r="AE36" s="371"/>
      <c r="AF36" s="371"/>
      <c r="AG36" s="371"/>
      <c r="AH36" s="371"/>
      <c r="AI36" s="371"/>
      <c r="AJ36" s="371"/>
      <c r="AL36" s="409"/>
      <c r="AM36" s="409"/>
      <c r="AN36" s="409"/>
      <c r="AO36" s="409"/>
      <c r="AP36" s="409"/>
      <c r="AQ36" s="409"/>
      <c r="AR36" s="409"/>
      <c r="AS36" s="409"/>
      <c r="AT36" s="409"/>
      <c r="AU36" s="409"/>
      <c r="AV36" s="409"/>
      <c r="AW36" s="409"/>
      <c r="AX36" s="409"/>
      <c r="AY36" s="409"/>
      <c r="AZ36" s="409"/>
      <c r="BA36" s="409"/>
      <c r="BB36" s="409"/>
      <c r="BC36" s="409"/>
      <c r="BD36" s="409"/>
      <c r="BE36" s="409"/>
      <c r="BF36" s="409"/>
    </row>
    <row r="37" spans="1:36" s="337" customFormat="1" ht="14.25">
      <c r="A37" s="438">
        <v>9</v>
      </c>
      <c r="B37" s="439" t="s">
        <v>172</v>
      </c>
      <c r="C37" s="440">
        <f>2120-2120</f>
        <v>0</v>
      </c>
      <c r="D37" s="440">
        <f>3345-2264</f>
        <v>1081</v>
      </c>
      <c r="E37" s="445">
        <f>8241-1867</f>
        <v>6374</v>
      </c>
      <c r="F37" s="445">
        <f>13496-2413</f>
        <v>11083</v>
      </c>
      <c r="G37" s="445">
        <v>10700</v>
      </c>
      <c r="H37" s="445">
        <v>10705</v>
      </c>
      <c r="I37" s="445">
        <v>12108</v>
      </c>
      <c r="J37" s="445">
        <v>19868</v>
      </c>
      <c r="K37" s="445"/>
      <c r="L37" s="440"/>
      <c r="M37" s="444"/>
      <c r="N37" s="440"/>
      <c r="O37" s="440">
        <v>1744</v>
      </c>
      <c r="P37" s="445">
        <v>2006</v>
      </c>
      <c r="Q37" s="440">
        <v>5355</v>
      </c>
      <c r="R37" s="445">
        <v>6465</v>
      </c>
      <c r="S37" s="445">
        <v>7907</v>
      </c>
      <c r="T37" s="445">
        <v>7547</v>
      </c>
      <c r="U37" s="445">
        <v>9518</v>
      </c>
      <c r="V37" s="445">
        <v>12874</v>
      </c>
      <c r="W37" s="440">
        <v>9313</v>
      </c>
      <c r="X37" s="440">
        <v>6172</v>
      </c>
      <c r="Y37" s="440">
        <v>8784</v>
      </c>
      <c r="Z37" s="440">
        <v>20133</v>
      </c>
      <c r="AA37" s="440">
        <v>3804.1845753962557</v>
      </c>
      <c r="AB37" s="462">
        <f t="shared" si="5"/>
        <v>144303.18457539627</v>
      </c>
      <c r="AC37" s="371"/>
      <c r="AD37" s="371"/>
      <c r="AE37" s="371"/>
      <c r="AF37" s="371"/>
      <c r="AG37" s="371"/>
      <c r="AH37" s="371"/>
      <c r="AI37" s="371"/>
      <c r="AJ37" s="372"/>
    </row>
    <row r="38" spans="1:36" s="337" customFormat="1" ht="14.25">
      <c r="A38" s="438">
        <v>10</v>
      </c>
      <c r="B38" s="439" t="s">
        <v>173</v>
      </c>
      <c r="C38" s="440">
        <f>14046-14046</f>
        <v>0</v>
      </c>
      <c r="D38" s="440">
        <f>15226-15053</f>
        <v>173</v>
      </c>
      <c r="E38" s="440">
        <f>12326-8659</f>
        <v>3667</v>
      </c>
      <c r="F38" s="440">
        <f>12940-6356</f>
        <v>6584</v>
      </c>
      <c r="G38" s="440">
        <v>8134</v>
      </c>
      <c r="H38" s="440">
        <v>2493</v>
      </c>
      <c r="I38" s="445">
        <v>10362</v>
      </c>
      <c r="J38" s="445">
        <v>4692</v>
      </c>
      <c r="K38" s="442"/>
      <c r="L38" s="440"/>
      <c r="M38" s="444"/>
      <c r="N38" s="440"/>
      <c r="O38" s="440">
        <v>5385</v>
      </c>
      <c r="P38" s="445">
        <v>3282</v>
      </c>
      <c r="Q38" s="440">
        <v>5467</v>
      </c>
      <c r="R38" s="445">
        <v>4687</v>
      </c>
      <c r="S38" s="445">
        <v>4789.4</v>
      </c>
      <c r="T38" s="445">
        <v>5808.1</v>
      </c>
      <c r="U38" s="445">
        <v>6336</v>
      </c>
      <c r="V38" s="472">
        <v>19311</v>
      </c>
      <c r="W38" s="440">
        <v>16366</v>
      </c>
      <c r="X38" s="440">
        <v>10611</v>
      </c>
      <c r="Y38" s="440">
        <v>14356</v>
      </c>
      <c r="Z38" s="440">
        <v>5976</v>
      </c>
      <c r="AA38" s="440">
        <v>7572</v>
      </c>
      <c r="AB38" s="462">
        <f t="shared" si="5"/>
        <v>127493.5</v>
      </c>
      <c r="AC38" s="372"/>
      <c r="AD38" s="372"/>
      <c r="AE38" s="372"/>
      <c r="AF38" s="372"/>
      <c r="AG38" s="372"/>
      <c r="AH38" s="372"/>
      <c r="AI38" s="372"/>
      <c r="AJ38" s="372"/>
    </row>
    <row r="39" spans="1:62" s="337" customFormat="1" ht="14.25">
      <c r="A39" s="438">
        <v>11</v>
      </c>
      <c r="B39" s="439" t="s">
        <v>199</v>
      </c>
      <c r="C39" s="440">
        <v>178</v>
      </c>
      <c r="D39" s="440">
        <f>224-209</f>
        <v>15</v>
      </c>
      <c r="E39" s="440">
        <f>1926-580</f>
        <v>1346</v>
      </c>
      <c r="F39" s="440">
        <f>2811-1315</f>
        <v>1496</v>
      </c>
      <c r="G39" s="440">
        <v>1211.37</v>
      </c>
      <c r="H39" s="440">
        <v>997.86</v>
      </c>
      <c r="I39" s="445">
        <v>3855.56</v>
      </c>
      <c r="J39" s="445">
        <v>2857.4</v>
      </c>
      <c r="K39" s="445">
        <v>1957.31</v>
      </c>
      <c r="L39" s="440">
        <v>1092.5</v>
      </c>
      <c r="M39" s="444">
        <v>1293</v>
      </c>
      <c r="N39" s="440">
        <v>999</v>
      </c>
      <c r="O39" s="440">
        <v>1537</v>
      </c>
      <c r="P39" s="445">
        <v>1279</v>
      </c>
      <c r="Q39" s="440">
        <v>1150</v>
      </c>
      <c r="R39" s="445">
        <v>1360</v>
      </c>
      <c r="S39" s="445">
        <v>2183</v>
      </c>
      <c r="T39" s="445">
        <v>1313</v>
      </c>
      <c r="U39" s="445">
        <v>2135</v>
      </c>
      <c r="V39" s="445">
        <v>3468</v>
      </c>
      <c r="W39" s="440">
        <v>6487</v>
      </c>
      <c r="X39" s="440">
        <v>2448</v>
      </c>
      <c r="Y39" s="440">
        <v>5586</v>
      </c>
      <c r="Z39" s="440">
        <v>1346</v>
      </c>
      <c r="AA39" s="440">
        <v>2045.7</v>
      </c>
      <c r="AB39" s="462">
        <f t="shared" si="5"/>
        <v>45390.329999999994</v>
      </c>
      <c r="AC39" s="371"/>
      <c r="AD39" s="371"/>
      <c r="AE39" s="371"/>
      <c r="AF39" s="371"/>
      <c r="AG39" s="371"/>
      <c r="AH39" s="371"/>
      <c r="AI39" s="371"/>
      <c r="AJ39" s="371"/>
      <c r="AL39" s="409"/>
      <c r="AM39" s="409"/>
      <c r="AN39" s="409"/>
      <c r="AO39" s="409"/>
      <c r="AP39" s="409"/>
      <c r="AQ39" s="409"/>
      <c r="AR39" s="409"/>
      <c r="AS39" s="409"/>
      <c r="AT39" s="409"/>
      <c r="AU39" s="409"/>
      <c r="AV39" s="409"/>
      <c r="AW39" s="409"/>
      <c r="AX39" s="409"/>
      <c r="AY39" s="409"/>
      <c r="AZ39" s="409"/>
      <c r="BA39" s="409"/>
      <c r="BB39" s="409"/>
      <c r="BC39" s="409"/>
      <c r="BD39" s="409"/>
      <c r="BE39" s="409"/>
      <c r="BF39" s="409"/>
      <c r="BG39" s="409"/>
      <c r="BH39" s="409"/>
      <c r="BI39" s="409"/>
      <c r="BJ39" s="409"/>
    </row>
    <row r="40" spans="1:62" s="337" customFormat="1" ht="14.25">
      <c r="A40" s="438">
        <v>12</v>
      </c>
      <c r="B40" s="439" t="s">
        <v>200</v>
      </c>
      <c r="C40" s="440">
        <f>3269-3269</f>
        <v>0</v>
      </c>
      <c r="D40" s="440">
        <f>4493-4085</f>
        <v>408</v>
      </c>
      <c r="E40" s="440">
        <f>3437-1343</f>
        <v>2094</v>
      </c>
      <c r="F40" s="440">
        <f>6247-2125</f>
        <v>4122</v>
      </c>
      <c r="G40" s="440">
        <v>4819</v>
      </c>
      <c r="H40" s="440">
        <v>16692</v>
      </c>
      <c r="I40" s="440">
        <v>4796</v>
      </c>
      <c r="J40" s="440">
        <v>1239</v>
      </c>
      <c r="K40" s="439"/>
      <c r="L40" s="440"/>
      <c r="M40" s="444"/>
      <c r="N40" s="440"/>
      <c r="O40" s="440">
        <v>8368</v>
      </c>
      <c r="P40" s="445">
        <v>13385</v>
      </c>
      <c r="Q40" s="440">
        <v>16150</v>
      </c>
      <c r="R40" s="445">
        <v>19008</v>
      </c>
      <c r="S40" s="445">
        <v>15852.33</v>
      </c>
      <c r="T40" s="445">
        <v>13470</v>
      </c>
      <c r="U40" s="445">
        <v>27740</v>
      </c>
      <c r="V40" s="445">
        <v>31438</v>
      </c>
      <c r="W40" s="440">
        <v>25874</v>
      </c>
      <c r="X40" s="440">
        <v>14451</v>
      </c>
      <c r="Y40" s="440">
        <v>11074</v>
      </c>
      <c r="Z40" s="440">
        <v>24005</v>
      </c>
      <c r="AA40" s="440">
        <v>30019.288928571426</v>
      </c>
      <c r="AB40" s="462">
        <f t="shared" si="5"/>
        <v>273561.61892857146</v>
      </c>
      <c r="AC40" s="371"/>
      <c r="AD40" s="371"/>
      <c r="AE40" s="371"/>
      <c r="AF40" s="371"/>
      <c r="AG40" s="371"/>
      <c r="AH40" s="371"/>
      <c r="AI40" s="371"/>
      <c r="AJ40" s="371"/>
      <c r="AL40" s="409"/>
      <c r="AM40" s="409"/>
      <c r="AN40" s="409"/>
      <c r="AO40" s="409"/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/>
      <c r="BE40" s="409"/>
      <c r="BF40" s="409"/>
      <c r="BG40" s="409"/>
      <c r="BH40" s="409"/>
      <c r="BI40" s="409"/>
      <c r="BJ40" s="409"/>
    </row>
    <row r="41" spans="1:62" s="337" customFormat="1" ht="14.25">
      <c r="A41" s="438">
        <v>13</v>
      </c>
      <c r="B41" s="439" t="s">
        <v>201</v>
      </c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4">
        <v>351</v>
      </c>
      <c r="N41" s="440">
        <v>0</v>
      </c>
      <c r="O41" s="440"/>
      <c r="P41" s="445"/>
      <c r="Q41" s="440"/>
      <c r="R41" s="445"/>
      <c r="S41" s="445">
        <v>135.65</v>
      </c>
      <c r="T41" s="445"/>
      <c r="U41" s="445"/>
      <c r="V41" s="445"/>
      <c r="W41" s="440"/>
      <c r="X41" s="440"/>
      <c r="Y41" s="440"/>
      <c r="Z41" s="440"/>
      <c r="AA41" s="440"/>
      <c r="AB41" s="462">
        <f t="shared" si="5"/>
        <v>486.65</v>
      </c>
      <c r="AC41" s="371"/>
      <c r="AD41" s="371"/>
      <c r="AE41" s="371"/>
      <c r="AF41" s="371"/>
      <c r="AG41" s="371"/>
      <c r="AH41" s="371"/>
      <c r="AI41" s="371"/>
      <c r="AJ41" s="371"/>
      <c r="AL41" s="409"/>
      <c r="AM41" s="409"/>
      <c r="AN41" s="409"/>
      <c r="AO41" s="409"/>
      <c r="AP41" s="409"/>
      <c r="AQ41" s="409"/>
      <c r="AR41" s="409"/>
      <c r="AS41" s="409"/>
      <c r="AT41" s="409"/>
      <c r="AU41" s="409"/>
      <c r="AV41" s="409"/>
      <c r="AW41" s="409"/>
      <c r="AX41" s="409"/>
      <c r="AY41" s="409"/>
      <c r="AZ41" s="409"/>
      <c r="BA41" s="409"/>
      <c r="BB41" s="409"/>
      <c r="BC41" s="409"/>
      <c r="BD41" s="409"/>
      <c r="BE41" s="409"/>
      <c r="BF41" s="409"/>
      <c r="BG41" s="409"/>
      <c r="BH41" s="409"/>
      <c r="BI41" s="409"/>
      <c r="BJ41" s="409"/>
    </row>
    <row r="42" spans="1:62" ht="15" thickBot="1">
      <c r="A42" s="438">
        <v>14</v>
      </c>
      <c r="B42" s="473" t="s">
        <v>202</v>
      </c>
      <c r="C42" s="474">
        <f>2268-2248</f>
        <v>20</v>
      </c>
      <c r="D42" s="474">
        <f>2642-2410</f>
        <v>232</v>
      </c>
      <c r="E42" s="474">
        <f>7490-1327</f>
        <v>6163</v>
      </c>
      <c r="F42" s="474">
        <f>11250-1154</f>
        <v>10096</v>
      </c>
      <c r="G42" s="474">
        <v>3621.33</v>
      </c>
      <c r="H42" s="474">
        <v>6737.49</v>
      </c>
      <c r="I42" s="474">
        <v>8959.48</v>
      </c>
      <c r="J42" s="474">
        <v>8476.7</v>
      </c>
      <c r="K42" s="474">
        <v>4454.59</v>
      </c>
      <c r="L42" s="474">
        <v>6931.458</v>
      </c>
      <c r="M42" s="475">
        <v>7262</v>
      </c>
      <c r="N42" s="474">
        <v>3844.88</v>
      </c>
      <c r="O42" s="474">
        <v>5549</v>
      </c>
      <c r="P42" s="476">
        <v>4033</v>
      </c>
      <c r="Q42" s="474">
        <v>4131</v>
      </c>
      <c r="R42" s="476">
        <v>6606</v>
      </c>
      <c r="S42" s="476">
        <v>8237.03</v>
      </c>
      <c r="T42" s="476">
        <v>4617</v>
      </c>
      <c r="U42" s="476">
        <v>5525</v>
      </c>
      <c r="V42" s="476">
        <v>6944</v>
      </c>
      <c r="W42" s="474">
        <v>10029</v>
      </c>
      <c r="X42" s="474">
        <v>8867</v>
      </c>
      <c r="Y42" s="474">
        <v>10268</v>
      </c>
      <c r="Z42" s="474">
        <v>14879</v>
      </c>
      <c r="AA42" s="474">
        <v>17302</v>
      </c>
      <c r="AB42" s="477">
        <f t="shared" si="5"/>
        <v>153653.628</v>
      </c>
      <c r="AC42" s="384"/>
      <c r="AD42" s="384"/>
      <c r="AE42" s="384"/>
      <c r="AF42" s="384"/>
      <c r="AG42" s="384"/>
      <c r="AH42" s="384"/>
      <c r="AI42" s="384"/>
      <c r="AJ42" s="384"/>
      <c r="AL42" s="478"/>
      <c r="AM42" s="478"/>
      <c r="AN42" s="478"/>
      <c r="AO42" s="478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8"/>
      <c r="BA42" s="478"/>
      <c r="BB42" s="478"/>
      <c r="BC42" s="478"/>
      <c r="BD42" s="478"/>
      <c r="BE42" s="478"/>
      <c r="BF42" s="478"/>
      <c r="BG42" s="478"/>
      <c r="BH42" s="478"/>
      <c r="BI42" s="478"/>
      <c r="BJ42" s="478"/>
    </row>
    <row r="43" spans="1:62" ht="15" thickBot="1">
      <c r="A43" s="1330" t="s">
        <v>0</v>
      </c>
      <c r="B43" s="1331"/>
      <c r="C43" s="466">
        <f aca="true" t="shared" si="6" ref="C43:AB43">SUM(C29:C42)</f>
        <v>6943</v>
      </c>
      <c r="D43" s="466">
        <f t="shared" si="6"/>
        <v>23607</v>
      </c>
      <c r="E43" s="466">
        <f t="shared" si="6"/>
        <v>74238</v>
      </c>
      <c r="F43" s="466">
        <f t="shared" si="6"/>
        <v>85550</v>
      </c>
      <c r="G43" s="466">
        <f t="shared" si="6"/>
        <v>44525.98</v>
      </c>
      <c r="H43" s="466">
        <f t="shared" si="6"/>
        <v>104882.24</v>
      </c>
      <c r="I43" s="466">
        <f t="shared" si="6"/>
        <v>95107.77</v>
      </c>
      <c r="J43" s="466">
        <f t="shared" si="6"/>
        <v>71932.01</v>
      </c>
      <c r="K43" s="466">
        <f t="shared" si="6"/>
        <v>42096.95999999999</v>
      </c>
      <c r="L43" s="466">
        <f t="shared" si="6"/>
        <v>34074.750011834316</v>
      </c>
      <c r="M43" s="466">
        <f t="shared" si="6"/>
        <v>16083</v>
      </c>
      <c r="N43" s="466">
        <f t="shared" si="6"/>
        <v>15665.599999999999</v>
      </c>
      <c r="O43" s="466">
        <f t="shared" si="6"/>
        <v>31680</v>
      </c>
      <c r="P43" s="466">
        <f t="shared" si="6"/>
        <v>43726.54</v>
      </c>
      <c r="Q43" s="466">
        <f t="shared" si="6"/>
        <v>49114.21</v>
      </c>
      <c r="R43" s="466">
        <f t="shared" si="6"/>
        <v>63639.32</v>
      </c>
      <c r="S43" s="466">
        <f t="shared" si="6"/>
        <v>66543.58</v>
      </c>
      <c r="T43" s="466">
        <f t="shared" si="6"/>
        <v>66215.9</v>
      </c>
      <c r="U43" s="466">
        <f t="shared" si="6"/>
        <v>102369</v>
      </c>
      <c r="V43" s="466">
        <f t="shared" si="6"/>
        <v>161132</v>
      </c>
      <c r="W43" s="466">
        <f t="shared" si="6"/>
        <v>140497</v>
      </c>
      <c r="X43" s="466">
        <f t="shared" si="6"/>
        <v>78378</v>
      </c>
      <c r="Y43" s="466">
        <f t="shared" si="6"/>
        <v>86343</v>
      </c>
      <c r="Z43" s="466">
        <f>SUM(Z29:Z42)</f>
        <v>144108.1</v>
      </c>
      <c r="AA43" s="466">
        <f>SUM(AA29:AA42)</f>
        <v>116240.97350396769</v>
      </c>
      <c r="AB43" s="467">
        <f t="shared" si="6"/>
        <v>1529829.9535158018</v>
      </c>
      <c r="AC43" s="384"/>
      <c r="AD43" s="384"/>
      <c r="AE43" s="384"/>
      <c r="AF43" s="384"/>
      <c r="AG43" s="384"/>
      <c r="AH43" s="384"/>
      <c r="AI43" s="384"/>
      <c r="AJ43" s="384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478"/>
      <c r="BD43" s="478"/>
      <c r="BE43" s="478"/>
      <c r="BF43" s="478"/>
      <c r="BG43" s="478"/>
      <c r="BH43" s="478"/>
      <c r="BI43" s="478"/>
      <c r="BJ43" s="478"/>
    </row>
    <row r="44" spans="1:62" ht="14.25">
      <c r="A44" s="479"/>
      <c r="B44" s="386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9"/>
      <c r="AC44" s="384"/>
      <c r="AD44" s="384"/>
      <c r="AE44" s="384"/>
      <c r="AF44" s="384"/>
      <c r="AG44" s="384"/>
      <c r="AH44" s="384"/>
      <c r="AI44" s="384"/>
      <c r="AJ44" s="384"/>
      <c r="AL44" s="478"/>
      <c r="AM44" s="478"/>
      <c r="AN44" s="478"/>
      <c r="AO44" s="478"/>
      <c r="AP44" s="478"/>
      <c r="AQ44" s="478"/>
      <c r="AR44" s="478"/>
      <c r="AS44" s="478"/>
      <c r="AT44" s="478"/>
      <c r="AU44" s="478"/>
      <c r="AV44" s="478"/>
      <c r="AW44" s="478"/>
      <c r="AX44" s="478"/>
      <c r="AY44" s="478"/>
      <c r="AZ44" s="478"/>
      <c r="BA44" s="478"/>
      <c r="BB44" s="478"/>
      <c r="BC44" s="478"/>
      <c r="BD44" s="478"/>
      <c r="BE44" s="478"/>
      <c r="BF44" s="478"/>
      <c r="BG44" s="478"/>
      <c r="BH44" s="478"/>
      <c r="BI44" s="478"/>
      <c r="BJ44" s="478"/>
    </row>
    <row r="45" spans="1:62" ht="14.25">
      <c r="A45" s="479"/>
      <c r="B45" s="386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9"/>
      <c r="AC45" s="384"/>
      <c r="AD45" s="384"/>
      <c r="AE45" s="384"/>
      <c r="AF45" s="384"/>
      <c r="AG45" s="384"/>
      <c r="AH45" s="384"/>
      <c r="AI45" s="384"/>
      <c r="AJ45" s="384"/>
      <c r="AL45" s="478"/>
      <c r="AM45" s="478"/>
      <c r="AN45" s="478"/>
      <c r="AO45" s="478"/>
      <c r="AP45" s="478"/>
      <c r="AQ45" s="478"/>
      <c r="AR45" s="478"/>
      <c r="AS45" s="478"/>
      <c r="AT45" s="478"/>
      <c r="AU45" s="478"/>
      <c r="AV45" s="478"/>
      <c r="AW45" s="478"/>
      <c r="AX45" s="478"/>
      <c r="AY45" s="478"/>
      <c r="AZ45" s="478"/>
      <c r="BA45" s="478"/>
      <c r="BB45" s="478"/>
      <c r="BC45" s="478"/>
      <c r="BD45" s="478"/>
      <c r="BE45" s="478"/>
      <c r="BF45" s="478"/>
      <c r="BG45" s="478"/>
      <c r="BH45" s="478"/>
      <c r="BI45" s="478"/>
      <c r="BJ45" s="478"/>
    </row>
    <row r="46" spans="1:62" ht="14.25">
      <c r="A46" s="386"/>
      <c r="B46" s="386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9"/>
      <c r="AC46" s="384"/>
      <c r="AD46" s="384"/>
      <c r="AE46" s="384"/>
      <c r="AF46" s="384"/>
      <c r="AG46" s="384"/>
      <c r="AH46" s="384"/>
      <c r="AI46" s="384"/>
      <c r="AJ46" s="384"/>
      <c r="AL46" s="478"/>
      <c r="AM46" s="478"/>
      <c r="AN46" s="478"/>
      <c r="AO46" s="478"/>
      <c r="AP46" s="478"/>
      <c r="AQ46" s="478"/>
      <c r="AR46" s="478"/>
      <c r="AS46" s="478"/>
      <c r="AT46" s="478"/>
      <c r="AU46" s="478"/>
      <c r="AV46" s="478"/>
      <c r="AW46" s="478"/>
      <c r="AX46" s="478"/>
      <c r="AY46" s="478"/>
      <c r="AZ46" s="478"/>
      <c r="BA46" s="478"/>
      <c r="BB46" s="478"/>
      <c r="BC46" s="478"/>
      <c r="BD46" s="478"/>
      <c r="BE46" s="478"/>
      <c r="BF46" s="478"/>
      <c r="BG46" s="478"/>
      <c r="BH46" s="478"/>
      <c r="BI46" s="478"/>
      <c r="BJ46" s="478"/>
    </row>
    <row r="47" spans="1:62" ht="21">
      <c r="A47" s="1332" t="s">
        <v>320</v>
      </c>
      <c r="B47" s="1332"/>
      <c r="C47" s="1332"/>
      <c r="D47" s="1332"/>
      <c r="E47" s="1332"/>
      <c r="F47" s="1332"/>
      <c r="G47" s="1332"/>
      <c r="H47" s="1332"/>
      <c r="I47" s="1332"/>
      <c r="J47" s="1332"/>
      <c r="K47" s="1332"/>
      <c r="L47" s="1332"/>
      <c r="M47" s="1332"/>
      <c r="N47" s="1332"/>
      <c r="O47" s="1332"/>
      <c r="P47" s="1332"/>
      <c r="Q47" s="1332"/>
      <c r="R47" s="1332"/>
      <c r="S47" s="1332"/>
      <c r="T47" s="1332"/>
      <c r="U47" s="1332"/>
      <c r="V47" s="1332"/>
      <c r="W47" s="388"/>
      <c r="X47" s="388"/>
      <c r="Y47" s="388"/>
      <c r="Z47" s="388"/>
      <c r="AA47" s="388"/>
      <c r="AB47" s="389"/>
      <c r="AC47" s="384"/>
      <c r="AD47" s="384"/>
      <c r="AE47" s="384"/>
      <c r="AF47" s="384"/>
      <c r="AG47" s="384"/>
      <c r="AH47" s="384"/>
      <c r="AI47" s="384"/>
      <c r="AJ47" s="384"/>
      <c r="AL47" s="478"/>
      <c r="AM47" s="478"/>
      <c r="AN47" s="478"/>
      <c r="AO47" s="478"/>
      <c r="AP47" s="478"/>
      <c r="AQ47" s="478"/>
      <c r="AR47" s="478"/>
      <c r="AS47" s="478"/>
      <c r="AT47" s="478"/>
      <c r="AU47" s="478"/>
      <c r="AV47" s="478"/>
      <c r="AW47" s="478"/>
      <c r="AX47" s="478"/>
      <c r="AY47" s="478"/>
      <c r="AZ47" s="478"/>
      <c r="BA47" s="478"/>
      <c r="BB47" s="478"/>
      <c r="BC47" s="478"/>
      <c r="BD47" s="478"/>
      <c r="BE47" s="478"/>
      <c r="BF47" s="478"/>
      <c r="BG47" s="478"/>
      <c r="BH47" s="478"/>
      <c r="BI47" s="478"/>
      <c r="BJ47" s="478"/>
    </row>
    <row r="48" spans="1:62" ht="15" thickBot="1">
      <c r="A48" s="386"/>
      <c r="B48" s="386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89"/>
      <c r="AC48" s="384"/>
      <c r="AD48" s="384"/>
      <c r="AE48" s="384"/>
      <c r="AF48" s="384"/>
      <c r="AG48" s="384"/>
      <c r="AH48" s="384"/>
      <c r="AI48" s="384"/>
      <c r="AJ48" s="384"/>
      <c r="AL48" s="478"/>
      <c r="AM48" s="478"/>
      <c r="AN48" s="478"/>
      <c r="AO48" s="478"/>
      <c r="AP48" s="478"/>
      <c r="AQ48" s="478"/>
      <c r="AR48" s="478"/>
      <c r="AS48" s="478"/>
      <c r="AT48" s="478"/>
      <c r="AU48" s="478"/>
      <c r="AV48" s="478"/>
      <c r="AW48" s="478"/>
      <c r="AX48" s="478"/>
      <c r="AY48" s="478"/>
      <c r="AZ48" s="478"/>
      <c r="BA48" s="478"/>
      <c r="BB48" s="478"/>
      <c r="BC48" s="478"/>
      <c r="BD48" s="478"/>
      <c r="BE48" s="478"/>
      <c r="BF48" s="478"/>
      <c r="BG48" s="478"/>
      <c r="BH48" s="478"/>
      <c r="BI48" s="478"/>
      <c r="BJ48" s="478"/>
    </row>
    <row r="49" spans="1:62" ht="13.5" thickBot="1">
      <c r="A49" s="1210">
        <v>1</v>
      </c>
      <c r="B49" s="1211" t="s">
        <v>307</v>
      </c>
      <c r="C49" s="555"/>
      <c r="D49" s="379"/>
      <c r="E49" s="379"/>
      <c r="F49" s="379">
        <v>7256</v>
      </c>
      <c r="G49" s="379">
        <v>74409</v>
      </c>
      <c r="H49" s="379">
        <v>74288</v>
      </c>
      <c r="I49" s="379">
        <v>135950</v>
      </c>
      <c r="J49" s="379">
        <v>46558</v>
      </c>
      <c r="K49" s="379">
        <v>51488</v>
      </c>
      <c r="L49" s="379">
        <v>54640</v>
      </c>
      <c r="M49" s="379">
        <v>53411</v>
      </c>
      <c r="N49" s="379">
        <v>45167</v>
      </c>
      <c r="O49" s="379">
        <v>17330</v>
      </c>
      <c r="P49" s="480">
        <v>43427.714</v>
      </c>
      <c r="Q49" s="379">
        <v>39078</v>
      </c>
      <c r="R49" s="480">
        <v>45244</v>
      </c>
      <c r="S49" s="480">
        <v>33953</v>
      </c>
      <c r="T49" s="480">
        <f>85031+4896</f>
        <v>89927</v>
      </c>
      <c r="U49" s="480">
        <v>99487</v>
      </c>
      <c r="V49" s="480">
        <v>184722</v>
      </c>
      <c r="W49" s="480">
        <v>223376</v>
      </c>
      <c r="X49" s="480">
        <v>131275</v>
      </c>
      <c r="Y49" s="379">
        <f>149.881209301822*1000</f>
        <v>149881.209301822</v>
      </c>
      <c r="Z49" s="379">
        <v>149413.53189887735</v>
      </c>
      <c r="AA49" s="379">
        <v>111023.9864864865</v>
      </c>
      <c r="AB49" s="481">
        <f>SUM(H49:AA49)</f>
        <v>1779640.4416871858</v>
      </c>
      <c r="AC49" s="384"/>
      <c r="AD49" s="384"/>
      <c r="AE49" s="384"/>
      <c r="AF49" s="384"/>
      <c r="AG49" s="384"/>
      <c r="AH49" s="384"/>
      <c r="AI49" s="384"/>
      <c r="AJ49" s="384"/>
      <c r="AL49" s="478"/>
      <c r="AM49" s="478"/>
      <c r="AN49" s="478"/>
      <c r="AO49" s="478"/>
      <c r="AP49" s="478"/>
      <c r="AQ49" s="478"/>
      <c r="AR49" s="478"/>
      <c r="AS49" s="478"/>
      <c r="AT49" s="478"/>
      <c r="AU49" s="478"/>
      <c r="AV49" s="478"/>
      <c r="AW49" s="478"/>
      <c r="AX49" s="478"/>
      <c r="AY49" s="478"/>
      <c r="AZ49" s="478"/>
      <c r="BA49" s="478"/>
      <c r="BB49" s="478"/>
      <c r="BC49" s="478"/>
      <c r="BD49" s="478"/>
      <c r="BE49" s="478"/>
      <c r="BF49" s="478"/>
      <c r="BG49" s="478"/>
      <c r="BH49" s="478"/>
      <c r="BI49" s="478"/>
      <c r="BJ49" s="478"/>
    </row>
    <row r="50" spans="1:62" ht="15">
      <c r="A50" s="482"/>
      <c r="B50" s="483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4"/>
      <c r="AD50" s="384"/>
      <c r="AE50" s="384"/>
      <c r="AF50" s="384"/>
      <c r="AG50" s="384"/>
      <c r="AH50" s="384"/>
      <c r="AI50" s="384"/>
      <c r="AJ50" s="384"/>
      <c r="AL50" s="478"/>
      <c r="AM50" s="478"/>
      <c r="AN50" s="478"/>
      <c r="AO50" s="478"/>
      <c r="AP50" s="478"/>
      <c r="AQ50" s="478"/>
      <c r="AR50" s="478"/>
      <c r="AS50" s="478"/>
      <c r="AT50" s="478"/>
      <c r="AU50" s="478"/>
      <c r="AV50" s="478"/>
      <c r="AW50" s="478"/>
      <c r="AX50" s="478"/>
      <c r="AY50" s="478"/>
      <c r="AZ50" s="478"/>
      <c r="BA50" s="478"/>
      <c r="BB50" s="478"/>
      <c r="BC50" s="478"/>
      <c r="BD50" s="478"/>
      <c r="BE50" s="478"/>
      <c r="BF50" s="478"/>
      <c r="BG50" s="478"/>
      <c r="BH50" s="478"/>
      <c r="BI50" s="478"/>
      <c r="BJ50" s="478"/>
    </row>
    <row r="51" spans="1:62" ht="21.75" customHeight="1" thickBot="1">
      <c r="A51" s="386"/>
      <c r="B51" s="386"/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8"/>
      <c r="Q51" s="388"/>
      <c r="R51" s="388"/>
      <c r="S51" s="388"/>
      <c r="T51" s="388"/>
      <c r="U51" s="388"/>
      <c r="V51" s="388"/>
      <c r="W51" s="388"/>
      <c r="X51" s="388"/>
      <c r="Y51" s="388"/>
      <c r="Z51" s="388"/>
      <c r="AA51" s="388"/>
      <c r="AB51" s="389"/>
      <c r="AC51" s="384"/>
      <c r="AD51" s="384"/>
      <c r="AE51" s="384"/>
      <c r="AF51" s="384"/>
      <c r="AG51" s="384"/>
      <c r="AH51" s="384"/>
      <c r="AI51" s="384"/>
      <c r="AJ51" s="384"/>
      <c r="AL51" s="478"/>
      <c r="AM51" s="478"/>
      <c r="AN51" s="478"/>
      <c r="AO51" s="478"/>
      <c r="AP51" s="478"/>
      <c r="AQ51" s="478"/>
      <c r="AR51" s="478"/>
      <c r="AS51" s="478"/>
      <c r="AT51" s="478"/>
      <c r="AU51" s="478"/>
      <c r="AV51" s="478"/>
      <c r="AW51" s="478"/>
      <c r="AX51" s="478"/>
      <c r="AY51" s="478"/>
      <c r="AZ51" s="478"/>
      <c r="BA51" s="478"/>
      <c r="BB51" s="478"/>
      <c r="BC51" s="478"/>
      <c r="BD51" s="478"/>
      <c r="BE51" s="478"/>
      <c r="BF51" s="478"/>
      <c r="BG51" s="478"/>
      <c r="BH51" s="478"/>
      <c r="BI51" s="478"/>
      <c r="BJ51" s="478"/>
    </row>
    <row r="52" spans="1:36" ht="25.5" customHeight="1" thickBot="1">
      <c r="A52" s="1333" t="s">
        <v>33</v>
      </c>
      <c r="B52" s="1334"/>
      <c r="C52" s="484">
        <f aca="true" t="shared" si="7" ref="C52:T52">C17+C26+C43+C49</f>
        <v>136599</v>
      </c>
      <c r="D52" s="484">
        <f t="shared" si="7"/>
        <v>114859</v>
      </c>
      <c r="E52" s="484">
        <f t="shared" si="7"/>
        <v>163753</v>
      </c>
      <c r="F52" s="484">
        <f t="shared" si="7"/>
        <v>174408</v>
      </c>
      <c r="G52" s="484">
        <f t="shared" si="7"/>
        <v>153798.708</v>
      </c>
      <c r="H52" s="484">
        <f t="shared" si="7"/>
        <v>229000.999</v>
      </c>
      <c r="I52" s="484">
        <f t="shared" si="7"/>
        <v>312926.207</v>
      </c>
      <c r="J52" s="484">
        <f t="shared" si="7"/>
        <v>254447.96600000001</v>
      </c>
      <c r="K52" s="484">
        <f t="shared" si="7"/>
        <v>254279.34300000002</v>
      </c>
      <c r="L52" s="484">
        <f t="shared" si="7"/>
        <v>256364.5590118343</v>
      </c>
      <c r="M52" s="484">
        <f t="shared" si="7"/>
        <v>219400</v>
      </c>
      <c r="N52" s="484">
        <f t="shared" si="7"/>
        <v>140225.68</v>
      </c>
      <c r="O52" s="484">
        <f t="shared" si="7"/>
        <v>127185</v>
      </c>
      <c r="P52" s="484">
        <f t="shared" si="7"/>
        <v>154259.75400000002</v>
      </c>
      <c r="Q52" s="484">
        <f t="shared" si="7"/>
        <v>155193.43</v>
      </c>
      <c r="R52" s="484">
        <f t="shared" si="7"/>
        <v>162650.03</v>
      </c>
      <c r="S52" s="484">
        <f t="shared" si="7"/>
        <v>129694.5</v>
      </c>
      <c r="T52" s="484">
        <f t="shared" si="7"/>
        <v>229642.19999999998</v>
      </c>
      <c r="U52" s="484">
        <f aca="true" t="shared" si="8" ref="U52:AB52">U17+U26+U43+U49</f>
        <v>228369</v>
      </c>
      <c r="V52" s="484">
        <f t="shared" si="8"/>
        <v>434703</v>
      </c>
      <c r="W52" s="484">
        <f t="shared" si="8"/>
        <v>388987</v>
      </c>
      <c r="X52" s="485">
        <f t="shared" si="8"/>
        <v>238248.7</v>
      </c>
      <c r="Y52" s="485">
        <f t="shared" si="8"/>
        <v>271504.209301822</v>
      </c>
      <c r="Z52" s="485">
        <f t="shared" si="8"/>
        <v>358736.4318988774</v>
      </c>
      <c r="AA52" s="485">
        <f t="shared" si="8"/>
        <v>289355.4799904542</v>
      </c>
      <c r="AB52" s="485">
        <f t="shared" si="8"/>
        <v>4835173.489202987</v>
      </c>
      <c r="AC52" s="383"/>
      <c r="AD52" s="383"/>
      <c r="AE52" s="486"/>
      <c r="AF52" s="487"/>
      <c r="AG52" s="487"/>
      <c r="AH52" s="486"/>
      <c r="AI52" s="383"/>
      <c r="AJ52" s="383"/>
    </row>
    <row r="53" spans="1:62" ht="12.75">
      <c r="A53" s="385"/>
      <c r="B53" s="488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489"/>
      <c r="AF53" s="486"/>
      <c r="AG53" s="486"/>
      <c r="AH53" s="489"/>
      <c r="AI53" s="384"/>
      <c r="AJ53" s="384"/>
      <c r="AL53" s="478"/>
      <c r="AM53" s="478"/>
      <c r="AN53" s="478"/>
      <c r="AO53" s="478"/>
      <c r="AP53" s="478"/>
      <c r="AQ53" s="478"/>
      <c r="AR53" s="478"/>
      <c r="AS53" s="478"/>
      <c r="AT53" s="478"/>
      <c r="AU53" s="478"/>
      <c r="AV53" s="478"/>
      <c r="AW53" s="478"/>
      <c r="AX53" s="478"/>
      <c r="AY53" s="478"/>
      <c r="AZ53" s="478"/>
      <c r="BA53" s="478"/>
      <c r="BB53" s="478"/>
      <c r="BC53" s="478"/>
      <c r="BD53" s="478"/>
      <c r="BE53" s="478"/>
      <c r="BF53" s="478"/>
      <c r="BG53" s="478"/>
      <c r="BH53" s="478"/>
      <c r="BI53" s="478"/>
      <c r="BJ53" s="478"/>
    </row>
    <row r="54" spans="1:62" ht="13.5">
      <c r="A54" s="490" t="s">
        <v>204</v>
      </c>
      <c r="B54" s="488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489"/>
      <c r="AF54" s="486"/>
      <c r="AG54" s="486"/>
      <c r="AH54" s="489"/>
      <c r="AI54" s="384"/>
      <c r="AJ54" s="384"/>
      <c r="AL54" s="478"/>
      <c r="AM54" s="478"/>
      <c r="AN54" s="478"/>
      <c r="AO54" s="478"/>
      <c r="AP54" s="478"/>
      <c r="AQ54" s="478"/>
      <c r="AR54" s="478"/>
      <c r="AS54" s="478"/>
      <c r="AT54" s="478"/>
      <c r="AU54" s="478"/>
      <c r="AV54" s="478"/>
      <c r="AW54" s="478"/>
      <c r="AX54" s="478"/>
      <c r="AY54" s="478"/>
      <c r="AZ54" s="478"/>
      <c r="BA54" s="478"/>
      <c r="BB54" s="478"/>
      <c r="BC54" s="478"/>
      <c r="BD54" s="478"/>
      <c r="BE54" s="478"/>
      <c r="BF54" s="478"/>
      <c r="BG54" s="478"/>
      <c r="BH54" s="478"/>
      <c r="BI54" s="478"/>
      <c r="BJ54" s="478"/>
    </row>
    <row r="55" spans="31:34" ht="12.75">
      <c r="AE55" s="487"/>
      <c r="AF55" s="491"/>
      <c r="AG55" s="491"/>
      <c r="AH55" s="487"/>
    </row>
    <row r="56" spans="2:36" ht="12.75">
      <c r="B56" s="492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AB56" s="383"/>
      <c r="AC56" s="383"/>
      <c r="AD56" s="383"/>
      <c r="AE56" s="489"/>
      <c r="AF56" s="487"/>
      <c r="AG56" s="487"/>
      <c r="AH56" s="486"/>
      <c r="AI56" s="383"/>
      <c r="AJ56" s="383"/>
    </row>
    <row r="57" spans="2:36" ht="12.75"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AC57" s="384"/>
      <c r="AD57" s="384"/>
      <c r="AE57" s="489"/>
      <c r="AF57" s="487"/>
      <c r="AG57" s="487"/>
      <c r="AH57" s="493"/>
      <c r="AI57" s="385"/>
      <c r="AJ57" s="385"/>
    </row>
    <row r="58" spans="3:36" ht="12.75">
      <c r="C58" s="429"/>
      <c r="D58" s="430"/>
      <c r="E58" s="430"/>
      <c r="F58" s="430"/>
      <c r="G58" s="430"/>
      <c r="V58" s="478"/>
      <c r="AB58" s="385"/>
      <c r="AC58" s="385"/>
      <c r="AD58" s="385"/>
      <c r="AE58" s="493"/>
      <c r="AF58" s="487"/>
      <c r="AG58" s="487"/>
      <c r="AH58" s="493"/>
      <c r="AI58" s="385"/>
      <c r="AJ58" s="385"/>
    </row>
    <row r="59" spans="3:36" ht="12.75">
      <c r="C59" s="429"/>
      <c r="F59" s="430"/>
      <c r="G59" s="430"/>
      <c r="H59" s="429"/>
      <c r="Y59" s="478"/>
      <c r="AB59" s="385"/>
      <c r="AC59" s="385"/>
      <c r="AD59" s="385"/>
      <c r="AE59" s="493"/>
      <c r="AF59" s="493"/>
      <c r="AG59" s="493"/>
      <c r="AH59" s="493"/>
      <c r="AI59" s="385"/>
      <c r="AJ59" s="385"/>
    </row>
    <row r="60" spans="3:36" ht="12.75">
      <c r="C60" s="429"/>
      <c r="AB60" s="385"/>
      <c r="AC60" s="385"/>
      <c r="AD60" s="385"/>
      <c r="AE60" s="385"/>
      <c r="AF60" s="385"/>
      <c r="AG60" s="385"/>
      <c r="AH60" s="385"/>
      <c r="AI60" s="385"/>
      <c r="AJ60" s="385"/>
    </row>
    <row r="61" ht="14.25">
      <c r="AA61" s="389"/>
    </row>
  </sheetData>
  <sheetProtection/>
  <mergeCells count="6">
    <mergeCell ref="A6:AB6"/>
    <mergeCell ref="A17:B17"/>
    <mergeCell ref="A26:B26"/>
    <mergeCell ref="A43:B43"/>
    <mergeCell ref="A47:V47"/>
    <mergeCell ref="A52:B52"/>
  </mergeCells>
  <printOptions horizontalCentered="1"/>
  <pageMargins left="0.7874015748031497" right="0.3937007874015748" top="0.7874015748031497" bottom="0.5905511811023623" header="0" footer="0"/>
  <pageSetup fitToHeight="1" fitToWidth="1" horizontalDpi="600" verticalDpi="600" orientation="landscape" paperSize="9" scale="42" r:id="rId1"/>
  <ignoredErrors>
    <ignoredError sqref="M17:AA17 AB11:AB16 AB23 AB31:AB42 AB29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B6:BF65"/>
  <sheetViews>
    <sheetView showGridLines="0" view="pageBreakPreview" zoomScale="85" zoomScaleNormal="70" zoomScaleSheetLayoutView="85" zoomScalePageLayoutView="0" workbookViewId="0" topLeftCell="A1">
      <selection activeCell="Y23" sqref="Y23"/>
    </sheetView>
  </sheetViews>
  <sheetFormatPr defaultColWidth="11.421875" defaultRowHeight="12.75"/>
  <cols>
    <col min="1" max="1" width="3.140625" style="352" customWidth="1"/>
    <col min="2" max="2" width="16.8515625" style="352" customWidth="1"/>
    <col min="3" max="3" width="10.00390625" style="352" hidden="1" customWidth="1"/>
    <col min="4" max="7" width="6.57421875" style="352" hidden="1" customWidth="1"/>
    <col min="8" max="8" width="8.7109375" style="352" customWidth="1"/>
    <col min="9" max="28" width="10.7109375" style="352" customWidth="1"/>
    <col min="29" max="29" width="8.140625" style="337" customWidth="1"/>
    <col min="30" max="30" width="11.00390625" style="494" customWidth="1"/>
    <col min="31" max="32" width="5.7109375" style="494" customWidth="1"/>
    <col min="33" max="33" width="11.421875" style="495" customWidth="1"/>
    <col min="34" max="38" width="11.421875" style="495" hidden="1" customWidth="1"/>
    <col min="39" max="55" width="11.421875" style="495" customWidth="1"/>
    <col min="56" max="16384" width="11.421875" style="352" customWidth="1"/>
  </cols>
  <sheetData>
    <row r="6" spans="2:32" ht="20.25">
      <c r="B6" s="1335" t="s">
        <v>321</v>
      </c>
      <c r="C6" s="1335"/>
      <c r="D6" s="1335"/>
      <c r="E6" s="1335"/>
      <c r="F6" s="1335"/>
      <c r="G6" s="1335"/>
      <c r="H6" s="1335"/>
      <c r="I6" s="1335"/>
      <c r="J6" s="1335"/>
      <c r="K6" s="1335"/>
      <c r="L6" s="1335"/>
      <c r="M6" s="1335"/>
      <c r="N6" s="1335"/>
      <c r="O6" s="1335"/>
      <c r="P6" s="1335"/>
      <c r="Q6" s="1335"/>
      <c r="R6" s="1335"/>
      <c r="S6" s="1335"/>
      <c r="T6" s="1335"/>
      <c r="U6" s="1335"/>
      <c r="V6" s="1335"/>
      <c r="W6" s="1335"/>
      <c r="X6" s="1335"/>
      <c r="Y6" s="1335"/>
      <c r="Z6" s="1335"/>
      <c r="AA6" s="1335"/>
      <c r="AB6" s="1335"/>
      <c r="AC6" s="498"/>
      <c r="AD6" s="499"/>
      <c r="AE6" s="499"/>
      <c r="AF6" s="499"/>
    </row>
    <row r="7" spans="2:32" ht="15.75"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8"/>
      <c r="AD7" s="499"/>
      <c r="AE7" s="499"/>
      <c r="AF7" s="499"/>
    </row>
    <row r="8" spans="2:32" ht="18">
      <c r="B8" s="576" t="s">
        <v>324</v>
      </c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8"/>
      <c r="AD8" s="499"/>
      <c r="AE8" s="499"/>
      <c r="AF8" s="499"/>
    </row>
    <row r="9" spans="2:32" ht="15.75"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8"/>
      <c r="AD9" s="499"/>
      <c r="AE9" s="499"/>
      <c r="AF9" s="499"/>
    </row>
    <row r="10" spans="2:35" ht="12.75">
      <c r="B10" s="1336" t="s">
        <v>206</v>
      </c>
      <c r="C10" s="1065">
        <v>1990</v>
      </c>
      <c r="D10" s="1065">
        <v>1991</v>
      </c>
      <c r="E10" s="1065">
        <v>1992</v>
      </c>
      <c r="F10" s="1065">
        <v>1993</v>
      </c>
      <c r="G10" s="1065">
        <v>1994</v>
      </c>
      <c r="H10" s="1065">
        <v>1995</v>
      </c>
      <c r="I10" s="1065">
        <v>1996</v>
      </c>
      <c r="J10" s="1065">
        <v>1997</v>
      </c>
      <c r="K10" s="1065">
        <v>1998</v>
      </c>
      <c r="L10" s="1065">
        <v>1999</v>
      </c>
      <c r="M10" s="1065">
        <v>2000</v>
      </c>
      <c r="N10" s="1065">
        <v>2001</v>
      </c>
      <c r="O10" s="1065">
        <v>2002</v>
      </c>
      <c r="P10" s="1065">
        <v>2003</v>
      </c>
      <c r="Q10" s="1065">
        <v>2004</v>
      </c>
      <c r="R10" s="1065">
        <v>2005</v>
      </c>
      <c r="S10" s="1065">
        <v>2006</v>
      </c>
      <c r="T10" s="1065">
        <v>2007</v>
      </c>
      <c r="U10" s="1065">
        <v>2008</v>
      </c>
      <c r="V10" s="1065">
        <v>2009</v>
      </c>
      <c r="W10" s="1065">
        <v>2010</v>
      </c>
      <c r="X10" s="1065">
        <v>2011</v>
      </c>
      <c r="Y10" s="1065">
        <v>2012</v>
      </c>
      <c r="Z10" s="1065">
        <v>2013</v>
      </c>
      <c r="AA10" s="1065">
        <v>2014</v>
      </c>
      <c r="AB10" s="1066" t="s">
        <v>0</v>
      </c>
      <c r="AC10" s="501"/>
      <c r="AD10" s="502"/>
      <c r="AE10" s="502"/>
      <c r="AF10" s="502"/>
      <c r="AI10" s="503"/>
    </row>
    <row r="11" spans="2:35" ht="12.75">
      <c r="B11" s="1337"/>
      <c r="C11" s="528">
        <f>C18+C19+C20</f>
        <v>136.599</v>
      </c>
      <c r="D11" s="528">
        <f aca="true" t="shared" si="0" ref="D11:AA11">D18+D19+D20</f>
        <v>114.859</v>
      </c>
      <c r="E11" s="528">
        <f t="shared" si="0"/>
        <v>163.753</v>
      </c>
      <c r="F11" s="528">
        <f t="shared" si="0"/>
        <v>174.408</v>
      </c>
      <c r="G11" s="528">
        <f t="shared" si="0"/>
        <v>214.152598</v>
      </c>
      <c r="H11" s="528">
        <f t="shared" si="0"/>
        <v>295.15262900000005</v>
      </c>
      <c r="I11" s="528">
        <f t="shared" si="0"/>
        <v>508.703377</v>
      </c>
      <c r="J11" s="528">
        <f t="shared" si="0"/>
        <v>593.516881</v>
      </c>
      <c r="K11" s="528">
        <f t="shared" si="0"/>
        <v>612.5214309999999</v>
      </c>
      <c r="L11" s="528">
        <f t="shared" si="0"/>
        <v>763.7302280118342</v>
      </c>
      <c r="M11" s="528">
        <f t="shared" si="0"/>
        <v>652.989</v>
      </c>
      <c r="N11" s="528">
        <f t="shared" si="0"/>
        <v>336.39697</v>
      </c>
      <c r="O11" s="528">
        <f t="shared" si="0"/>
        <v>247.20600000000002</v>
      </c>
      <c r="P11" s="528">
        <f t="shared" si="0"/>
        <v>226.411864</v>
      </c>
      <c r="Q11" s="528">
        <f t="shared" si="0"/>
        <v>320.25719000000004</v>
      </c>
      <c r="R11" s="528">
        <f t="shared" si="0"/>
        <v>392.53301</v>
      </c>
      <c r="S11" s="528">
        <f t="shared" si="0"/>
        <v>469.89295000000004</v>
      </c>
      <c r="T11" s="528">
        <f t="shared" si="0"/>
        <v>618.1507700000001</v>
      </c>
      <c r="U11" s="528">
        <f t="shared" si="0"/>
        <v>847.5749999999999</v>
      </c>
      <c r="V11" s="528">
        <f t="shared" si="0"/>
        <v>1154.282</v>
      </c>
      <c r="W11" s="528">
        <f t="shared" si="0"/>
        <v>1367.7389999999998</v>
      </c>
      <c r="X11" s="528">
        <f t="shared" si="0"/>
        <v>1879.9996652000002</v>
      </c>
      <c r="Y11" s="528">
        <f t="shared" si="0"/>
        <v>2738.9250697518223</v>
      </c>
      <c r="Z11" s="528">
        <f t="shared" si="0"/>
        <v>2589.0289318988775</v>
      </c>
      <c r="AA11" s="528">
        <f t="shared" si="0"/>
        <v>2585.592481704157</v>
      </c>
      <c r="AB11" s="504">
        <f>SUM(H11:AA11)</f>
        <v>19200.60444856669</v>
      </c>
      <c r="AC11" s="361"/>
      <c r="AD11" s="505"/>
      <c r="AE11" s="505"/>
      <c r="AF11" s="505"/>
      <c r="AI11" s="503"/>
    </row>
    <row r="12" spans="2:38" ht="12.75">
      <c r="B12" s="352" t="s">
        <v>207</v>
      </c>
      <c r="AK12" s="1338"/>
      <c r="AL12" s="1338"/>
    </row>
    <row r="13" spans="37:38" ht="12.75">
      <c r="AK13" s="506"/>
      <c r="AL13" s="506"/>
    </row>
    <row r="14" spans="37:38" ht="12.75">
      <c r="AK14" s="506"/>
      <c r="AL14" s="506"/>
    </row>
    <row r="15" spans="2:38" ht="18">
      <c r="B15" s="576" t="s">
        <v>325</v>
      </c>
      <c r="AH15" s="495">
        <v>1000</v>
      </c>
      <c r="AK15" s="506"/>
      <c r="AL15" s="506"/>
    </row>
    <row r="16" spans="34:38" ht="12.75">
      <c r="AH16" s="507"/>
      <c r="AI16" s="507"/>
      <c r="AJ16" s="507"/>
      <c r="AK16" s="506"/>
      <c r="AL16" s="506"/>
    </row>
    <row r="17" spans="2:58" ht="12.75">
      <c r="B17" s="1063" t="s">
        <v>208</v>
      </c>
      <c r="C17" s="1063">
        <v>1990</v>
      </c>
      <c r="D17" s="1063">
        <v>1991</v>
      </c>
      <c r="E17" s="1063">
        <v>1992</v>
      </c>
      <c r="F17" s="1063">
        <v>1993</v>
      </c>
      <c r="G17" s="1063">
        <v>1994</v>
      </c>
      <c r="H17" s="1063">
        <v>1995</v>
      </c>
      <c r="I17" s="1063">
        <v>1996</v>
      </c>
      <c r="J17" s="1063">
        <v>1997</v>
      </c>
      <c r="K17" s="1063">
        <v>1998</v>
      </c>
      <c r="L17" s="1063">
        <v>1999</v>
      </c>
      <c r="M17" s="1063">
        <v>2000</v>
      </c>
      <c r="N17" s="1063">
        <v>2001</v>
      </c>
      <c r="O17" s="1063">
        <v>2002</v>
      </c>
      <c r="P17" s="1063">
        <v>2003</v>
      </c>
      <c r="Q17" s="1063">
        <v>2004</v>
      </c>
      <c r="R17" s="1063">
        <v>2005</v>
      </c>
      <c r="S17" s="1063">
        <v>2006</v>
      </c>
      <c r="T17" s="1063">
        <v>2007</v>
      </c>
      <c r="U17" s="1063">
        <v>2008</v>
      </c>
      <c r="V17" s="1063">
        <v>2009</v>
      </c>
      <c r="W17" s="1063">
        <v>2010</v>
      </c>
      <c r="X17" s="1063">
        <v>2011</v>
      </c>
      <c r="Y17" s="1063">
        <v>2012</v>
      </c>
      <c r="Z17" s="1063">
        <v>2013</v>
      </c>
      <c r="AA17" s="1063">
        <v>2014</v>
      </c>
      <c r="AB17" s="1064" t="s">
        <v>0</v>
      </c>
      <c r="AC17" s="501"/>
      <c r="AD17" s="502"/>
      <c r="AE17" s="502"/>
      <c r="AF17" s="502"/>
      <c r="AH17" s="496">
        <f aca="true" t="shared" si="1" ref="AH17:BF17">C17</f>
        <v>1990</v>
      </c>
      <c r="AI17" s="496">
        <f t="shared" si="1"/>
        <v>1991</v>
      </c>
      <c r="AJ17" s="496">
        <f t="shared" si="1"/>
        <v>1992</v>
      </c>
      <c r="AK17" s="496">
        <f t="shared" si="1"/>
        <v>1993</v>
      </c>
      <c r="AL17" s="496">
        <f t="shared" si="1"/>
        <v>1994</v>
      </c>
      <c r="AM17" s="496">
        <f t="shared" si="1"/>
        <v>1995</v>
      </c>
      <c r="AN17" s="496">
        <f t="shared" si="1"/>
        <v>1996</v>
      </c>
      <c r="AO17" s="496">
        <f t="shared" si="1"/>
        <v>1997</v>
      </c>
      <c r="AP17" s="496">
        <f t="shared" si="1"/>
        <v>1998</v>
      </c>
      <c r="AQ17" s="496">
        <f t="shared" si="1"/>
        <v>1999</v>
      </c>
      <c r="AR17" s="496">
        <f t="shared" si="1"/>
        <v>2000</v>
      </c>
      <c r="AS17" s="496">
        <f t="shared" si="1"/>
        <v>2001</v>
      </c>
      <c r="AT17" s="496">
        <f t="shared" si="1"/>
        <v>2002</v>
      </c>
      <c r="AU17" s="496">
        <f t="shared" si="1"/>
        <v>2003</v>
      </c>
      <c r="AV17" s="496">
        <f t="shared" si="1"/>
        <v>2004</v>
      </c>
      <c r="AW17" s="496">
        <f t="shared" si="1"/>
        <v>2005</v>
      </c>
      <c r="AX17" s="496">
        <f t="shared" si="1"/>
        <v>2006</v>
      </c>
      <c r="AY17" s="496">
        <f t="shared" si="1"/>
        <v>2007</v>
      </c>
      <c r="AZ17" s="496">
        <f t="shared" si="1"/>
        <v>2008</v>
      </c>
      <c r="BA17" s="496">
        <f t="shared" si="1"/>
        <v>2009</v>
      </c>
      <c r="BB17" s="496">
        <f t="shared" si="1"/>
        <v>2010</v>
      </c>
      <c r="BC17" s="496">
        <f t="shared" si="1"/>
        <v>2011</v>
      </c>
      <c r="BD17" s="496">
        <f t="shared" si="1"/>
        <v>2012</v>
      </c>
      <c r="BE17" s="496">
        <f t="shared" si="1"/>
        <v>2013</v>
      </c>
      <c r="BF17" s="496">
        <f t="shared" si="1"/>
        <v>2014</v>
      </c>
    </row>
    <row r="18" spans="2:58" ht="12.75">
      <c r="B18" s="508" t="s">
        <v>209</v>
      </c>
      <c r="C18" s="529">
        <f>('10.17.3 y 4 Publica y Gub.'!C17+'10.17.3 y 4 Publica y Gub.'!C26+'10.17.3 y 4 Publica y Gub.'!C43)/1000</f>
        <v>136.599</v>
      </c>
      <c r="D18" s="529">
        <f>('10.17.3 y 4 Publica y Gub.'!D17+'10.17.3 y 4 Publica y Gub.'!D26+'10.17.3 y 4 Publica y Gub.'!D43)/1000</f>
        <v>114.859</v>
      </c>
      <c r="E18" s="529">
        <f>('10.17.3 y 4 Publica y Gub.'!E17+'10.17.3 y 4 Publica y Gub.'!E26+'10.17.3 y 4 Publica y Gub.'!E43)/1000</f>
        <v>163.753</v>
      </c>
      <c r="F18" s="529">
        <f>('10.17.3 y 4 Publica y Gub.'!F17+'10.17.3 y 4 Publica y Gub.'!F26+'10.17.3 y 4 Publica y Gub.'!F43)/1000</f>
        <v>167.152</v>
      </c>
      <c r="G18" s="529">
        <f>('10.17.3 y 4 Publica y Gub.'!G17+'10.17.3 y 4 Publica y Gub.'!G26+'10.17.3 y 4 Publica y Gub.'!G43)/1000</f>
        <v>79.38970800000001</v>
      </c>
      <c r="H18" s="529">
        <f>('10.17.3 y 4 Publica y Gub.'!H17+'10.17.3 y 4 Publica y Gub.'!H26+'10.17.3 y 4 Publica y Gub.'!H43)/1000</f>
        <v>154.71299900000002</v>
      </c>
      <c r="I18" s="529">
        <f>('10.17.3 y 4 Publica y Gub.'!I17+'10.17.3 y 4 Publica y Gub.'!I26+'10.17.3 y 4 Publica y Gub.'!I43)/1000</f>
        <v>176.976207</v>
      </c>
      <c r="J18" s="529">
        <f>('10.17.3 y 4 Publica y Gub.'!J17+'10.17.3 y 4 Publica y Gub.'!J26+'10.17.3 y 4 Publica y Gub.'!J43)/1000</f>
        <v>207.88996600000002</v>
      </c>
      <c r="K18" s="529">
        <f>('10.17.3 y 4 Publica y Gub.'!K17+'10.17.3 y 4 Publica y Gub.'!K26+'10.17.3 y 4 Publica y Gub.'!K43)/1000</f>
        <v>202.791343</v>
      </c>
      <c r="L18" s="529">
        <f>('10.17.3 y 4 Publica y Gub.'!L17+'10.17.3 y 4 Publica y Gub.'!L26+'10.17.3 y 4 Publica y Gub.'!L43)/1000</f>
        <v>201.7245590118343</v>
      </c>
      <c r="M18" s="529">
        <f>('10.17.3 y 4 Publica y Gub.'!M17+'10.17.3 y 4 Publica y Gub.'!M26+'10.17.3 y 4 Publica y Gub.'!M43)/1000</f>
        <v>165.989</v>
      </c>
      <c r="N18" s="529">
        <f>('10.17.3 y 4 Publica y Gub.'!N17+'10.17.3 y 4 Publica y Gub.'!N26+'10.17.3 y 4 Publica y Gub.'!N43)/1000</f>
        <v>95.05868</v>
      </c>
      <c r="O18" s="529">
        <f>('10.17.3 y 4 Publica y Gub.'!O17+'10.17.3 y 4 Publica y Gub.'!O26+'10.17.3 y 4 Publica y Gub.'!O43)/1000</f>
        <v>109.855</v>
      </c>
      <c r="P18" s="529">
        <f>('10.17.3 y 4 Publica y Gub.'!P17+'10.17.3 y 4 Publica y Gub.'!P26+'10.17.3 y 4 Publica y Gub.'!P43)/1000</f>
        <v>110.83204</v>
      </c>
      <c r="Q18" s="529">
        <f>('10.17.3 y 4 Publica y Gub.'!Q17+'10.17.3 y 4 Publica y Gub.'!Q26+'10.17.3 y 4 Publica y Gub.'!Q43)/1000</f>
        <v>116.11542999999999</v>
      </c>
      <c r="R18" s="529">
        <f>('10.17.3 y 4 Publica y Gub.'!R17+'10.17.3 y 4 Publica y Gub.'!R26+'10.17.3 y 4 Publica y Gub.'!R43)/1000</f>
        <v>117.40603</v>
      </c>
      <c r="S18" s="529">
        <f>('10.17.3 y 4 Publica y Gub.'!S17+'10.17.3 y 4 Publica y Gub.'!S26+'10.17.3 y 4 Publica y Gub.'!S43)/1000</f>
        <v>95.7415</v>
      </c>
      <c r="T18" s="529">
        <f>('10.17.3 y 4 Publica y Gub.'!T17+'10.17.3 y 4 Publica y Gub.'!T26+'10.17.3 y 4 Publica y Gub.'!T43)/1000</f>
        <v>139.71519999999998</v>
      </c>
      <c r="U18" s="529">
        <f>('10.17.3 y 4 Publica y Gub.'!U17+'10.17.3 y 4 Publica y Gub.'!U26+'10.17.3 y 4 Publica y Gub.'!U43)/1000</f>
        <v>128.882</v>
      </c>
      <c r="V18" s="529">
        <f>('10.17.3 y 4 Publica y Gub.'!V17+'10.17.3 y 4 Publica y Gub.'!V26+'10.17.3 y 4 Publica y Gub.'!V43)/1000</f>
        <v>249.981</v>
      </c>
      <c r="W18" s="529">
        <f>('10.17.3 y 4 Publica y Gub.'!W17+'10.17.3 y 4 Publica y Gub.'!W26+'10.17.3 y 4 Publica y Gub.'!W43)/1000</f>
        <v>165.611</v>
      </c>
      <c r="X18" s="529">
        <f>('10.17.3 y 4 Publica y Gub.'!X17+'10.17.3 y 4 Publica y Gub.'!X26+'10.17.3 y 4 Publica y Gub.'!X43)/1000</f>
        <v>106.9737</v>
      </c>
      <c r="Y18" s="529">
        <f>('10.17.3 y 4 Publica y Gub.'!Y17+'10.17.3 y 4 Publica y Gub.'!Y26+'10.17.3 y 4 Publica y Gub.'!Y43)/1000</f>
        <v>121.623</v>
      </c>
      <c r="Z18" s="529">
        <f>(+'10.17.3 y 4 Publica y Gub.'!Z17+'10.17.3 y 4 Publica y Gub.'!Z26+'10.17.3 y 4 Publica y Gub.'!Z43)/1000</f>
        <v>209.32290000000003</v>
      </c>
      <c r="AA18" s="529">
        <v>178.33149350396772</v>
      </c>
      <c r="AB18" s="509">
        <f>SUM(H18:AA18)</f>
        <v>3055.533047515802</v>
      </c>
      <c r="AD18" s="510">
        <f>+AB18/AD21</f>
        <v>0.15913733631150842</v>
      </c>
      <c r="AE18" s="511"/>
      <c r="AF18" s="511"/>
      <c r="AG18" s="495" t="s">
        <v>3</v>
      </c>
      <c r="AH18" s="512"/>
      <c r="AI18" s="512"/>
      <c r="AJ18" s="512"/>
      <c r="AK18" s="512"/>
      <c r="AL18" s="512"/>
      <c r="AM18" s="512"/>
      <c r="AN18" s="512"/>
      <c r="AO18" s="512"/>
      <c r="AP18" s="512"/>
      <c r="AQ18" s="512"/>
      <c r="AR18" s="512"/>
      <c r="AS18" s="512"/>
      <c r="AT18" s="512"/>
      <c r="AU18" s="512"/>
      <c r="AV18" s="512"/>
      <c r="AW18" s="512"/>
      <c r="AX18" s="512"/>
      <c r="AY18" s="512"/>
      <c r="AZ18" s="512"/>
      <c r="BA18" s="512"/>
      <c r="BB18" s="512"/>
      <c r="BC18" s="512"/>
      <c r="BD18" s="512"/>
      <c r="BE18" s="512"/>
      <c r="BF18" s="512"/>
    </row>
    <row r="19" spans="2:58" ht="12.75">
      <c r="B19" s="508" t="s">
        <v>205</v>
      </c>
      <c r="C19" s="529"/>
      <c r="D19" s="529"/>
      <c r="E19" s="529"/>
      <c r="F19" s="529"/>
      <c r="G19" s="529">
        <v>60.35389</v>
      </c>
      <c r="H19" s="529">
        <v>66.15163000000001</v>
      </c>
      <c r="I19" s="529">
        <v>195.77716999999998</v>
      </c>
      <c r="J19" s="529">
        <v>339.06891500000006</v>
      </c>
      <c r="K19" s="529">
        <v>358.24208799999997</v>
      </c>
      <c r="L19" s="529">
        <v>507.36566899999997</v>
      </c>
      <c r="M19" s="529">
        <v>433.589</v>
      </c>
      <c r="N19" s="529">
        <v>196.17129</v>
      </c>
      <c r="O19" s="529">
        <v>120.021</v>
      </c>
      <c r="P19" s="529">
        <v>72.15211000000001</v>
      </c>
      <c r="Q19" s="529">
        <v>165.06376</v>
      </c>
      <c r="R19" s="529">
        <v>229.88297999999998</v>
      </c>
      <c r="S19" s="529">
        <v>340.19845000000004</v>
      </c>
      <c r="T19" s="529">
        <v>388.50857</v>
      </c>
      <c r="U19" s="529">
        <v>619.206</v>
      </c>
      <c r="V19" s="529">
        <v>719.579</v>
      </c>
      <c r="W19" s="529">
        <v>978.752</v>
      </c>
      <c r="X19" s="529">
        <v>1641.7509652</v>
      </c>
      <c r="Y19" s="529">
        <v>2467.4208604500004</v>
      </c>
      <c r="Z19" s="529">
        <f>('10.17.2 Inversion Privada'!Z74+'10.17.2 Inversion Privada'!Z88+'10.17.2 Inversion Privada'!Z105)/1000</f>
        <v>2230.2925</v>
      </c>
      <c r="AA19" s="529">
        <v>2296.2370017137027</v>
      </c>
      <c r="AB19" s="509">
        <f>SUM(H19:AA19)</f>
        <v>14365.430959363704</v>
      </c>
      <c r="AD19" s="510">
        <f>+AB19/AD21</f>
        <v>0.7481759752847819</v>
      </c>
      <c r="AE19" s="511"/>
      <c r="AF19" s="511"/>
      <c r="AG19" s="495" t="s">
        <v>249</v>
      </c>
      <c r="AH19" s="512">
        <f>'10.17.2 Inversion Privada'!C107</f>
        <v>0</v>
      </c>
      <c r="AI19" s="512">
        <f>'10.17.2 Inversion Privada'!D107</f>
        <v>0</v>
      </c>
      <c r="AJ19" s="512">
        <f>'10.17.2 Inversion Privada'!E107</f>
        <v>0</v>
      </c>
      <c r="AK19" s="512">
        <f>'10.17.2 Inversion Privada'!F107</f>
        <v>0</v>
      </c>
      <c r="AL19" s="512">
        <f>'10.17.2 Inversion Privada'!G107</f>
        <v>60353.89</v>
      </c>
      <c r="AM19" s="512">
        <f>'10.17.2 Inversion Privada'!H107</f>
        <v>66165.63</v>
      </c>
      <c r="AN19" s="512">
        <f>'10.17.2 Inversion Privada'!I107</f>
        <v>195921.16999999998</v>
      </c>
      <c r="AO19" s="512">
        <f>'10.17.2 Inversion Privada'!J107</f>
        <v>339735.91500000004</v>
      </c>
      <c r="AP19" s="512">
        <f>'10.17.2 Inversion Privada'!K107</f>
        <v>358705.088</v>
      </c>
      <c r="AQ19" s="512">
        <f>'10.17.2 Inversion Privada'!L107</f>
        <v>507744.669</v>
      </c>
      <c r="AR19" s="512">
        <f>'10.17.2 Inversion Privada'!M107</f>
        <v>437769</v>
      </c>
      <c r="AS19" s="512">
        <f>'10.17.2 Inversion Privada'!N107</f>
        <v>210829.29</v>
      </c>
      <c r="AT19" s="512">
        <f>'10.17.2 Inversion Privada'!O107</f>
        <v>132343</v>
      </c>
      <c r="AU19" s="512">
        <f>'10.17.2 Inversion Privada'!P107</f>
        <v>81123.70999999999</v>
      </c>
      <c r="AV19" s="512">
        <f>'10.17.2 Inversion Privada'!Q107</f>
        <v>168551.96</v>
      </c>
      <c r="AW19" s="512">
        <f>'10.17.2 Inversion Privada'!R107</f>
        <v>231061.62</v>
      </c>
      <c r="AX19" s="512">
        <f>'10.17.2 Inversion Privada'!S107</f>
        <v>350459.05</v>
      </c>
      <c r="AY19" s="512">
        <f>'10.17.2 Inversion Privada'!T107</f>
        <v>399347.57</v>
      </c>
      <c r="AZ19" s="512">
        <f>'10.17.2 Inversion Privada'!U107</f>
        <v>633659</v>
      </c>
      <c r="BA19" s="512">
        <f>'10.17.2 Inversion Privada'!V107</f>
        <v>741830</v>
      </c>
      <c r="BB19" s="512">
        <f>'10.17.2 Inversion Privada'!W107</f>
        <v>978752</v>
      </c>
      <c r="BC19" s="512">
        <f>'10.17.2 Inversion Privada'!X107</f>
        <v>1641750.9652000002</v>
      </c>
      <c r="BD19" s="512">
        <f>'10.17.2 Inversion Privada'!Y107</f>
        <v>2467429.8604500005</v>
      </c>
      <c r="BE19" s="512">
        <f>'10.17.2 Inversion Privada'!Z107</f>
        <v>2230292.5</v>
      </c>
      <c r="BF19" s="512">
        <f>'10.17.2 Inversion Privada'!AA107</f>
        <v>2296237.001713703</v>
      </c>
    </row>
    <row r="20" spans="2:51" ht="12.75">
      <c r="B20" s="508" t="s">
        <v>210</v>
      </c>
      <c r="C20" s="529">
        <f>'10.17.3 y 4 Publica y Gub.'!C49/1000</f>
        <v>0</v>
      </c>
      <c r="D20" s="529">
        <f>'10.17.3 y 4 Publica y Gub.'!D49/1000</f>
        <v>0</v>
      </c>
      <c r="E20" s="529">
        <f>'10.17.3 y 4 Publica y Gub.'!E49/1000</f>
        <v>0</v>
      </c>
      <c r="F20" s="529">
        <f>'10.17.3 y 4 Publica y Gub.'!F49/1000</f>
        <v>7.256</v>
      </c>
      <c r="G20" s="529">
        <f>'10.17.3 y 4 Publica y Gub.'!G49/1000</f>
        <v>74.409</v>
      </c>
      <c r="H20" s="529">
        <f>'10.17.3 y 4 Publica y Gub.'!H49/1000</f>
        <v>74.288</v>
      </c>
      <c r="I20" s="529">
        <f>'10.17.3 y 4 Publica y Gub.'!I49/1000</f>
        <v>135.95</v>
      </c>
      <c r="J20" s="529">
        <f>'10.17.3 y 4 Publica y Gub.'!J49/1000</f>
        <v>46.558</v>
      </c>
      <c r="K20" s="529">
        <f>'10.17.3 y 4 Publica y Gub.'!K49/1000</f>
        <v>51.488</v>
      </c>
      <c r="L20" s="529">
        <f>'10.17.3 y 4 Publica y Gub.'!L49/1000</f>
        <v>54.64</v>
      </c>
      <c r="M20" s="529">
        <f>'10.17.3 y 4 Publica y Gub.'!M49/1000</f>
        <v>53.411</v>
      </c>
      <c r="N20" s="529">
        <f>'10.17.3 y 4 Publica y Gub.'!N49/1000</f>
        <v>45.167</v>
      </c>
      <c r="O20" s="529">
        <f>'10.17.3 y 4 Publica y Gub.'!O49/1000</f>
        <v>17.33</v>
      </c>
      <c r="P20" s="529">
        <f>'10.17.3 y 4 Publica y Gub.'!P49/1000</f>
        <v>43.427714</v>
      </c>
      <c r="Q20" s="529">
        <f>'10.17.3 y 4 Publica y Gub.'!Q49/1000</f>
        <v>39.078</v>
      </c>
      <c r="R20" s="529">
        <f>'10.17.3 y 4 Publica y Gub.'!R49/1000</f>
        <v>45.244</v>
      </c>
      <c r="S20" s="529">
        <f>'10.17.3 y 4 Publica y Gub.'!S49/1000</f>
        <v>33.953</v>
      </c>
      <c r="T20" s="529">
        <f>'10.17.3 y 4 Publica y Gub.'!T49/1000</f>
        <v>89.927</v>
      </c>
      <c r="U20" s="529">
        <f>'10.17.3 y 4 Publica y Gub.'!U49/1000</f>
        <v>99.487</v>
      </c>
      <c r="V20" s="529">
        <f>'10.17.3 y 4 Publica y Gub.'!V49/1000</f>
        <v>184.722</v>
      </c>
      <c r="W20" s="529">
        <f>'10.17.3 y 4 Publica y Gub.'!W49/1000</f>
        <v>223.376</v>
      </c>
      <c r="X20" s="529">
        <f>'10.17.3 y 4 Publica y Gub.'!X49/1000</f>
        <v>131.275</v>
      </c>
      <c r="Y20" s="529">
        <f>'10.17.3 y 4 Publica y Gub.'!Y49/1000</f>
        <v>149.881209301822</v>
      </c>
      <c r="Z20" s="529">
        <f>('10.17.3 y 4 Publica y Gub.'!Z49)/1000</f>
        <v>149.41353189887735</v>
      </c>
      <c r="AA20" s="529">
        <v>111.02398648648649</v>
      </c>
      <c r="AB20" s="509">
        <f>SUM(H20:AA20)</f>
        <v>1779.640441687186</v>
      </c>
      <c r="AD20" s="510">
        <f>+AB20/AD21</f>
        <v>0.09268668840370985</v>
      </c>
      <c r="AE20" s="511"/>
      <c r="AF20" s="511"/>
      <c r="AH20" s="512"/>
      <c r="AI20" s="512"/>
      <c r="AJ20" s="512"/>
      <c r="AK20" s="512"/>
      <c r="AL20" s="512"/>
      <c r="AM20" s="512"/>
      <c r="AN20" s="512"/>
      <c r="AO20" s="512"/>
      <c r="AP20" s="512"/>
      <c r="AQ20" s="512"/>
      <c r="AR20" s="512"/>
      <c r="AS20" s="512"/>
      <c r="AT20" s="512"/>
      <c r="AU20" s="512"/>
      <c r="AV20" s="512"/>
      <c r="AW20" s="512"/>
      <c r="AX20" s="512"/>
      <c r="AY20" s="512"/>
    </row>
    <row r="21" spans="2:36" ht="12.75">
      <c r="B21" s="513"/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5">
        <f>SUM(C21:V21)</f>
        <v>0</v>
      </c>
      <c r="AC21" s="516"/>
      <c r="AD21" s="517">
        <f>+SUM(AB18:AB20)</f>
        <v>19200.60444856669</v>
      </c>
      <c r="AE21" s="511"/>
      <c r="AF21" s="511"/>
      <c r="AH21" s="507"/>
      <c r="AI21" s="507"/>
      <c r="AJ21" s="507"/>
    </row>
    <row r="22" spans="2:36" ht="12.75">
      <c r="B22" s="492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9"/>
      <c r="AC22" s="516"/>
      <c r="AD22" s="511"/>
      <c r="AE22" s="511"/>
      <c r="AF22" s="511"/>
      <c r="AH22" s="507"/>
      <c r="AI22" s="507"/>
      <c r="AJ22" s="507"/>
    </row>
    <row r="23" spans="2:36" ht="12.75">
      <c r="B23" s="492"/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9"/>
      <c r="AC23" s="516"/>
      <c r="AD23" s="511"/>
      <c r="AE23" s="511"/>
      <c r="AF23" s="511"/>
      <c r="AH23" s="507"/>
      <c r="AI23" s="507"/>
      <c r="AJ23" s="507"/>
    </row>
    <row r="24" spans="2:32" ht="12.75">
      <c r="B24" s="492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71"/>
      <c r="AE24" s="520"/>
      <c r="AF24" s="520"/>
    </row>
    <row r="26" spans="2:32" ht="15">
      <c r="B26" s="1339"/>
      <c r="C26" s="1339"/>
      <c r="D26" s="1339"/>
      <c r="E26" s="1339"/>
      <c r="F26" s="1339"/>
      <c r="G26" s="1339"/>
      <c r="H26" s="1339"/>
      <c r="I26" s="1339"/>
      <c r="J26" s="1339"/>
      <c r="K26" s="1339"/>
      <c r="L26" s="1339"/>
      <c r="M26" s="1339"/>
      <c r="N26" s="1339"/>
      <c r="O26" s="1339"/>
      <c r="P26" s="1339"/>
      <c r="Q26" s="1339"/>
      <c r="R26" s="1339"/>
      <c r="S26" s="1339"/>
      <c r="T26" s="1339"/>
      <c r="U26" s="1339"/>
      <c r="V26" s="1339"/>
      <c r="W26" s="1339"/>
      <c r="X26" s="1339"/>
      <c r="Y26" s="1339"/>
      <c r="Z26" s="1339"/>
      <c r="AA26" s="1339"/>
      <c r="AB26" s="1339"/>
      <c r="AC26" s="521"/>
      <c r="AE26" s="522"/>
      <c r="AF26" s="522"/>
    </row>
    <row r="27" spans="2:32" ht="15.75"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4"/>
      <c r="AE27" s="524"/>
      <c r="AF27" s="524"/>
    </row>
    <row r="28" spans="2:32" ht="12.75">
      <c r="B28" s="525"/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5"/>
      <c r="V28" s="525"/>
      <c r="W28" s="525"/>
      <c r="X28" s="525"/>
      <c r="Y28" s="525"/>
      <c r="Z28" s="525"/>
      <c r="AA28" s="525"/>
      <c r="AB28" s="501"/>
      <c r="AC28" s="501"/>
      <c r="AD28" s="502"/>
      <c r="AE28" s="502"/>
      <c r="AF28" s="502"/>
    </row>
    <row r="29" spans="2:32" ht="12.75"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527"/>
      <c r="AE29" s="527"/>
      <c r="AF29" s="527"/>
    </row>
    <row r="30" spans="2:33" ht="12.75"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G30" s="495" t="s">
        <v>250</v>
      </c>
    </row>
    <row r="33" spans="34:58" ht="12.75">
      <c r="AH33" s="496">
        <v>1990</v>
      </c>
      <c r="AI33" s="496">
        <v>1991</v>
      </c>
      <c r="AJ33" s="496">
        <v>1992</v>
      </c>
      <c r="AK33" s="496">
        <v>1993</v>
      </c>
      <c r="AL33" s="496">
        <v>1994</v>
      </c>
      <c r="AM33" s="496">
        <v>1995</v>
      </c>
      <c r="AN33" s="496">
        <v>1996</v>
      </c>
      <c r="AO33" s="496">
        <v>1997</v>
      </c>
      <c r="AP33" s="496">
        <v>1998</v>
      </c>
      <c r="AQ33" s="496">
        <v>1999</v>
      </c>
      <c r="AR33" s="496">
        <v>2000</v>
      </c>
      <c r="AS33" s="496">
        <v>2001</v>
      </c>
      <c r="AT33" s="496">
        <v>2002</v>
      </c>
      <c r="AU33" s="496">
        <v>2003</v>
      </c>
      <c r="AV33" s="496">
        <v>2004</v>
      </c>
      <c r="AW33" s="496">
        <v>2005</v>
      </c>
      <c r="AX33" s="496">
        <v>2006</v>
      </c>
      <c r="AY33" s="496">
        <v>2007</v>
      </c>
      <c r="AZ33" s="496">
        <v>2008</v>
      </c>
      <c r="BA33" s="496">
        <v>2009</v>
      </c>
      <c r="BB33" s="496">
        <v>2010</v>
      </c>
      <c r="BC33" s="496">
        <v>2011</v>
      </c>
      <c r="BD33" s="496">
        <v>2012</v>
      </c>
      <c r="BE33" s="496">
        <v>2013</v>
      </c>
      <c r="BF33" s="496">
        <v>2014</v>
      </c>
    </row>
    <row r="34" spans="33:58" ht="12.75">
      <c r="AG34" s="495" t="s">
        <v>0</v>
      </c>
      <c r="AH34" s="500">
        <f>('10.17.2 Inversion Privada'!C74+'10.17.3 y 4 Publica y Gub.'!C17)/1000</f>
        <v>42.708</v>
      </c>
      <c r="AI34" s="500">
        <f>('10.17.2 Inversion Privada'!D74+'10.17.3 y 4 Publica y Gub.'!D17)/1000</f>
        <v>27.515</v>
      </c>
      <c r="AJ34" s="500">
        <f>('10.17.2 Inversion Privada'!E74+'10.17.3 y 4 Publica y Gub.'!E17)/1000</f>
        <v>71.171</v>
      </c>
      <c r="AK34" s="500">
        <f>('10.17.2 Inversion Privada'!F74+'10.17.3 y 4 Publica y Gub.'!F17)/1000</f>
        <v>68.373</v>
      </c>
      <c r="AL34" s="500">
        <f>('10.17.2 Inversion Privada'!G74+'10.17.3 y 4 Publica y Gub.'!G17)/1000</f>
        <v>66.006618</v>
      </c>
      <c r="AM34" s="500">
        <f>('10.17.2 Inversion Privada'!H74+'10.17.3 y 4 Publica y Gub.'!H17)/1000</f>
        <v>46.06673899999999</v>
      </c>
      <c r="AN34" s="500">
        <f>('10.17.2 Inversion Privada'!I74+'10.17.3 y 4 Publica y Gub.'!I17)/1000</f>
        <v>163.018897</v>
      </c>
      <c r="AO34" s="500">
        <f>('10.17.2 Inversion Privada'!J74+'10.17.3 y 4 Publica y Gub.'!J17)/1000</f>
        <v>343.444131</v>
      </c>
      <c r="AP34" s="500">
        <f>('10.17.2 Inversion Privada'!K74+'10.17.3 y 4 Publica y Gub.'!K17)/1000</f>
        <v>365.34824100000003</v>
      </c>
      <c r="AQ34" s="500">
        <f>('10.17.2 Inversion Privada'!L74+'10.17.3 y 4 Publica y Gub.'!L17)/1000</f>
        <v>417.162328</v>
      </c>
      <c r="AR34" s="500">
        <f>('10.17.2 Inversion Privada'!M74+'10.17.3 y 4 Publica y Gub.'!M17)/1000</f>
        <v>335.618</v>
      </c>
      <c r="AS34" s="500">
        <f>('10.17.2 Inversion Privada'!N74+'10.17.3 y 4 Publica y Gub.'!N17)/1000</f>
        <v>109.76317999999999</v>
      </c>
      <c r="AT34" s="500">
        <f>('10.17.2 Inversion Privada'!O74+'10.17.3 y 4 Publica y Gub.'!O17)/1000</f>
        <v>107.84</v>
      </c>
      <c r="AU34" s="500">
        <f>('10.17.2 Inversion Privada'!P74+'10.17.3 y 4 Publica y Gub.'!P17)/1000</f>
        <v>87.16510000000001</v>
      </c>
      <c r="AV34" s="500">
        <f>('10.17.2 Inversion Privada'!Q74+'10.17.3 y 4 Publica y Gub.'!Q17)/1000</f>
        <v>159.56642</v>
      </c>
      <c r="AW34" s="500">
        <f>('10.17.2 Inversion Privada'!R74+'10.17.3 y 4 Publica y Gub.'!R17)/1000</f>
        <v>193.49135</v>
      </c>
      <c r="AX34" s="500">
        <f>('10.17.2 Inversion Privada'!S74+'10.17.3 y 4 Publica y Gub.'!S17)/1000</f>
        <v>289.57452</v>
      </c>
      <c r="AY34" s="500">
        <f>('10.17.2 Inversion Privada'!T74+'10.17.3 y 4 Publica y Gub.'!T17)/1000</f>
        <v>318.0303</v>
      </c>
      <c r="AZ34" s="500">
        <f>('10.17.2 Inversion Privada'!U74+'10.17.3 y 4 Publica y Gub.'!U17)/1000</f>
        <v>483.53</v>
      </c>
      <c r="BA34" s="500">
        <f>('10.17.2 Inversion Privada'!V74+'10.17.3 y 4 Publica y Gub.'!V17)/1000</f>
        <v>448.383</v>
      </c>
      <c r="BB34" s="500">
        <f>('10.17.2 Inversion Privada'!W74+'10.17.3 y 4 Publica y Gub.'!W17)/1000</f>
        <v>558.634</v>
      </c>
      <c r="BC34" s="500">
        <f>('10.17.2 Inversion Privada'!X74+'10.17.3 y 4 Publica y Gub.'!X17)/1000</f>
        <v>1240.7880652000001</v>
      </c>
      <c r="BD34" s="500">
        <f>('10.17.2 Inversion Privada'!Y74+'10.17.3 y 4 Publica y Gub.'!Y17)/1000</f>
        <v>1781.41866045</v>
      </c>
      <c r="BE34" s="500">
        <f>('10.17.2 Inversion Privada'!Z74+'10.17.3 y 4 Publica y Gub.'!Z17)/1000</f>
        <v>1829.8335</v>
      </c>
      <c r="BF34" s="500">
        <f>('10.17.2 Inversion Privada'!AA74+'10.17.3 y 4 Publica y Gub.'!AA17)/1000</f>
        <v>1829.2607998337028</v>
      </c>
    </row>
    <row r="35" spans="33:58" ht="12.75">
      <c r="AG35" s="495" t="s">
        <v>205</v>
      </c>
      <c r="AH35" s="500">
        <f>'10.17.2 Inversion Privada'!C74/1000</f>
        <v>0</v>
      </c>
      <c r="AI35" s="500">
        <f>'10.17.2 Inversion Privada'!D74/1000</f>
        <v>0</v>
      </c>
      <c r="AJ35" s="500">
        <f>'10.17.2 Inversion Privada'!E74/1000</f>
        <v>0</v>
      </c>
      <c r="AK35" s="500">
        <f>'10.17.2 Inversion Privada'!F74/1000</f>
        <v>0</v>
      </c>
      <c r="AL35" s="500">
        <f>'10.17.2 Inversion Privada'!G74/1000</f>
        <v>31.47889</v>
      </c>
      <c r="AM35" s="500">
        <f>'10.17.2 Inversion Privada'!H74/1000</f>
        <v>7.64863</v>
      </c>
      <c r="AN35" s="500">
        <f>'10.17.2 Inversion Privada'!I74/1000</f>
        <v>97.75146</v>
      </c>
      <c r="AO35" s="500">
        <f>'10.17.2 Inversion Privada'!J74/1000</f>
        <v>240.20695500000002</v>
      </c>
      <c r="AP35" s="500">
        <f>'10.17.2 Inversion Privada'!K74/1000</f>
        <v>250.809128</v>
      </c>
      <c r="AQ35" s="500">
        <f>'10.17.2 Inversion Privada'!L74/1000</f>
        <v>280.830419</v>
      </c>
      <c r="AR35" s="500">
        <f>'10.17.2 Inversion Privada'!M74/1000</f>
        <v>212.402</v>
      </c>
      <c r="AS35" s="500">
        <f>'10.17.2 Inversion Privada'!N74/1000</f>
        <v>33.4861</v>
      </c>
      <c r="AT35" s="500">
        <f>'10.17.2 Inversion Privada'!O74/1000</f>
        <v>30.042</v>
      </c>
      <c r="AU35" s="500">
        <f>'10.17.2 Inversion Privada'!P74/1000</f>
        <v>20.0596</v>
      </c>
      <c r="AV35" s="500">
        <f>'10.17.2 Inversion Privada'!Q74/1000</f>
        <v>92.56519999999999</v>
      </c>
      <c r="AW35" s="500">
        <f>'10.17.2 Inversion Privada'!R74/1000</f>
        <v>139.72464000000002</v>
      </c>
      <c r="AX35" s="500">
        <f>'10.17.2 Inversion Privada'!S74/1000</f>
        <v>260.3766</v>
      </c>
      <c r="AY35" s="500">
        <f>'10.17.2 Inversion Privada'!T74/1000</f>
        <v>244.531</v>
      </c>
      <c r="AZ35" s="500">
        <f>'10.17.2 Inversion Privada'!U74/1000</f>
        <v>457.017</v>
      </c>
      <c r="BA35" s="500">
        <f>'10.17.2 Inversion Privada'!V74/1000</f>
        <v>359.534</v>
      </c>
      <c r="BB35" s="500">
        <f>'10.17.2 Inversion Privada'!W74/1000</f>
        <v>533.52</v>
      </c>
      <c r="BC35" s="500">
        <f>'10.17.2 Inversion Privada'!X74/1000</f>
        <v>1212.1923652</v>
      </c>
      <c r="BD35" s="500">
        <f>'10.17.2 Inversion Privada'!Y74/1000</f>
        <v>1746.13866045</v>
      </c>
      <c r="BE35" s="500">
        <f>'10.17.2 Inversion Privada'!Z74/1000</f>
        <v>1764.6187</v>
      </c>
      <c r="BF35" s="500">
        <f>'10.17.2 Inversion Privada'!AA74/1000</f>
        <v>1767.1702798337028</v>
      </c>
    </row>
    <row r="36" spans="33:58" ht="12.75">
      <c r="AG36" s="495" t="s">
        <v>306</v>
      </c>
      <c r="AH36" s="500">
        <f>'10.17.3 y 4 Publica y Gub.'!C17/1000</f>
        <v>42.708</v>
      </c>
      <c r="AI36" s="500">
        <f>'10.17.3 y 4 Publica y Gub.'!D17/1000</f>
        <v>27.515</v>
      </c>
      <c r="AJ36" s="500">
        <f>'10.17.3 y 4 Publica y Gub.'!E17/1000</f>
        <v>71.171</v>
      </c>
      <c r="AK36" s="500">
        <f>'10.17.3 y 4 Publica y Gub.'!F17/1000</f>
        <v>68.373</v>
      </c>
      <c r="AL36" s="500">
        <f>'10.17.3 y 4 Publica y Gub.'!G17/1000</f>
        <v>34.527728</v>
      </c>
      <c r="AM36" s="500">
        <f>'10.17.3 y 4 Publica y Gub.'!H17/1000</f>
        <v>38.418108999999994</v>
      </c>
      <c r="AN36" s="500">
        <f>'10.17.3 y 4 Publica y Gub.'!I17/1000</f>
        <v>65.267437</v>
      </c>
      <c r="AO36" s="500">
        <f>'10.17.3 y 4 Publica y Gub.'!J17/1000</f>
        <v>103.237176</v>
      </c>
      <c r="AP36" s="500">
        <f>'10.17.3 y 4 Publica y Gub.'!K17/1000</f>
        <v>114.53911300000001</v>
      </c>
      <c r="AQ36" s="500">
        <f>'10.17.3 y 4 Publica y Gub.'!L17/1000</f>
        <v>136.331909</v>
      </c>
      <c r="AR36" s="500">
        <f>'10.17.3 y 4 Publica y Gub.'!M17/1000</f>
        <v>123.216</v>
      </c>
      <c r="AS36" s="500">
        <f>'10.17.3 y 4 Publica y Gub.'!N17/1000</f>
        <v>76.27708</v>
      </c>
      <c r="AT36" s="500">
        <f>'10.17.3 y 4 Publica y Gub.'!O17/1000</f>
        <v>77.798</v>
      </c>
      <c r="AU36" s="500">
        <f>'10.17.3 y 4 Publica y Gub.'!P17/1000</f>
        <v>67.1055</v>
      </c>
      <c r="AV36" s="500">
        <f>'10.17.3 y 4 Publica y Gub.'!Q17/1000</f>
        <v>67.00122</v>
      </c>
      <c r="AW36" s="500">
        <f>'10.17.3 y 4 Publica y Gub.'!R17/1000</f>
        <v>53.766709999999996</v>
      </c>
      <c r="AX36" s="500">
        <f>'10.17.3 y 4 Publica y Gub.'!S17/1000</f>
        <v>29.19792</v>
      </c>
      <c r="AY36" s="500">
        <f>'10.17.3 y 4 Publica y Gub.'!T17/1000</f>
        <v>73.49929999999999</v>
      </c>
      <c r="AZ36" s="500">
        <f>'10.17.3 y 4 Publica y Gub.'!U17/1000</f>
        <v>26.513</v>
      </c>
      <c r="BA36" s="500">
        <f>'10.17.3 y 4 Publica y Gub.'!V17/1000</f>
        <v>88.849</v>
      </c>
      <c r="BB36" s="500">
        <f>'10.17.3 y 4 Publica y Gub.'!W17/1000</f>
        <v>25.114</v>
      </c>
      <c r="BC36" s="500">
        <f>'10.17.3 y 4 Publica y Gub.'!X17/1000</f>
        <v>28.5957</v>
      </c>
      <c r="BD36" s="500">
        <f>'10.17.3 y 4 Publica y Gub.'!Y17/1000</f>
        <v>35.28</v>
      </c>
      <c r="BE36" s="500">
        <f>'10.17.3 y 4 Publica y Gub.'!Z17/1000</f>
        <v>65.2148</v>
      </c>
      <c r="BF36" s="500">
        <f>'10.17.3 y 4 Publica y Gub.'!AA17/1000</f>
        <v>62.090520000000005</v>
      </c>
    </row>
    <row r="42" ht="12.75">
      <c r="AG42" s="495" t="s">
        <v>248</v>
      </c>
    </row>
    <row r="45" spans="34:58" ht="12.75">
      <c r="AH45" s="496">
        <v>1990</v>
      </c>
      <c r="AI45" s="496">
        <v>1991</v>
      </c>
      <c r="AJ45" s="496">
        <v>1992</v>
      </c>
      <c r="AK45" s="496">
        <v>1993</v>
      </c>
      <c r="AL45" s="496">
        <v>1994</v>
      </c>
      <c r="AM45" s="496">
        <v>1995</v>
      </c>
      <c r="AN45" s="496">
        <v>1996</v>
      </c>
      <c r="AO45" s="496">
        <v>1997</v>
      </c>
      <c r="AP45" s="496">
        <v>1998</v>
      </c>
      <c r="AQ45" s="496">
        <v>1999</v>
      </c>
      <c r="AR45" s="496">
        <v>2000</v>
      </c>
      <c r="AS45" s="496">
        <v>2001</v>
      </c>
      <c r="AT45" s="496">
        <v>2002</v>
      </c>
      <c r="AU45" s="496">
        <v>2003</v>
      </c>
      <c r="AV45" s="496">
        <v>2004</v>
      </c>
      <c r="AW45" s="496">
        <v>2005</v>
      </c>
      <c r="AX45" s="496">
        <v>2006</v>
      </c>
      <c r="AY45" s="496">
        <v>2007</v>
      </c>
      <c r="AZ45" s="496">
        <v>2008</v>
      </c>
      <c r="BA45" s="496">
        <v>2009</v>
      </c>
      <c r="BB45" s="496">
        <v>2010</v>
      </c>
      <c r="BC45" s="496">
        <v>2011</v>
      </c>
      <c r="BD45" s="530">
        <v>2012</v>
      </c>
      <c r="BE45" s="530">
        <v>2013</v>
      </c>
      <c r="BF45" s="530">
        <v>2014</v>
      </c>
    </row>
    <row r="46" spans="33:58" ht="12.75">
      <c r="AG46" s="495" t="s">
        <v>0</v>
      </c>
      <c r="AH46" s="526">
        <f>SUM(AH47:AH48)</f>
        <v>86.948</v>
      </c>
      <c r="AI46" s="526">
        <f aca="true" t="shared" si="2" ref="AI46:BD46">SUM(AI47:AI48)</f>
        <v>63.737</v>
      </c>
      <c r="AJ46" s="526">
        <f t="shared" si="2"/>
        <v>18.344</v>
      </c>
      <c r="AK46" s="526">
        <f t="shared" si="2"/>
        <v>13.229</v>
      </c>
      <c r="AL46" s="526">
        <f t="shared" si="2"/>
        <v>0.336</v>
      </c>
      <c r="AM46" s="526">
        <f t="shared" si="2"/>
        <v>11.41265</v>
      </c>
      <c r="AN46" s="526">
        <f t="shared" si="2"/>
        <v>16.601</v>
      </c>
      <c r="AO46" s="526">
        <f t="shared" si="2"/>
        <v>32.72078</v>
      </c>
      <c r="AP46" s="526">
        <f t="shared" si="2"/>
        <v>59.64327</v>
      </c>
      <c r="AQ46" s="526">
        <f t="shared" si="2"/>
        <v>170.80662</v>
      </c>
      <c r="AR46" s="526">
        <f t="shared" si="2"/>
        <v>128.939</v>
      </c>
      <c r="AS46" s="526">
        <f t="shared" si="2"/>
        <v>61.743</v>
      </c>
      <c r="AT46" s="526">
        <f t="shared" si="2"/>
        <v>37.657000000000004</v>
      </c>
      <c r="AU46" s="526">
        <f t="shared" si="2"/>
        <v>12.825610000000001</v>
      </c>
      <c r="AV46" s="526">
        <f t="shared" si="2"/>
        <v>24.36586</v>
      </c>
      <c r="AW46" s="526">
        <f t="shared" si="2"/>
        <v>20.6339</v>
      </c>
      <c r="AX46" s="526">
        <f t="shared" si="2"/>
        <v>16.54345</v>
      </c>
      <c r="AY46" s="526">
        <f t="shared" si="2"/>
        <v>69.63589999999999</v>
      </c>
      <c r="AZ46" s="526">
        <f t="shared" si="2"/>
        <v>43.106</v>
      </c>
      <c r="BA46" s="526">
        <f t="shared" si="2"/>
        <v>254.363</v>
      </c>
      <c r="BB46" s="526">
        <f t="shared" si="2"/>
        <v>332.557</v>
      </c>
      <c r="BC46" s="526">
        <f t="shared" si="2"/>
        <v>278.546</v>
      </c>
      <c r="BD46" s="526">
        <f t="shared" si="2"/>
        <v>470.27</v>
      </c>
      <c r="BE46" s="526">
        <f>SUM(BE47:BE48)</f>
        <v>188.4134</v>
      </c>
      <c r="BF46" s="526">
        <f>SUM(BF47:BF48)</f>
        <v>244.01244188</v>
      </c>
    </row>
    <row r="47" spans="33:58" ht="12.75">
      <c r="AG47" s="495" t="s">
        <v>205</v>
      </c>
      <c r="AH47" s="500">
        <f>'10.17.2 Inversion Privada'!C88/1000</f>
        <v>0</v>
      </c>
      <c r="AI47" s="500">
        <f>'10.17.2 Inversion Privada'!D88/1000</f>
        <v>0</v>
      </c>
      <c r="AJ47" s="500">
        <f>'10.17.2 Inversion Privada'!E88/1000</f>
        <v>0</v>
      </c>
      <c r="AK47" s="500">
        <f>'10.17.2 Inversion Privada'!F88/1000</f>
        <v>0</v>
      </c>
      <c r="AL47" s="500">
        <f>'10.17.2 Inversion Privada'!G88/1000</f>
        <v>0</v>
      </c>
      <c r="AM47" s="500">
        <f>'10.17.2 Inversion Privada'!H88/1000</f>
        <v>0</v>
      </c>
      <c r="AN47" s="500">
        <f>'10.17.2 Inversion Privada'!I88/1000</f>
        <v>0</v>
      </c>
      <c r="AO47" s="500">
        <f>'10.17.2 Inversion Privada'!J88/1000</f>
        <v>0</v>
      </c>
      <c r="AP47" s="500">
        <f>'10.17.2 Inversion Privada'!K88/1000</f>
        <v>13.488</v>
      </c>
      <c r="AQ47" s="500">
        <f>'10.17.2 Inversion Privada'!L88/1000</f>
        <v>139.48872</v>
      </c>
      <c r="AR47" s="500">
        <f>'10.17.2 Inversion Privada'!M88/1000</f>
        <v>102.249</v>
      </c>
      <c r="AS47" s="500">
        <f>'10.17.2 Inversion Privada'!N88/1000</f>
        <v>58.627</v>
      </c>
      <c r="AT47" s="500">
        <f>'10.17.2 Inversion Privada'!O88/1000</f>
        <v>37.28</v>
      </c>
      <c r="AU47" s="500">
        <f>'10.17.2 Inversion Privada'!P88/1000</f>
        <v>12.825610000000001</v>
      </c>
      <c r="AV47" s="500">
        <f>'10.17.2 Inversion Privada'!Q88/1000</f>
        <v>24.36586</v>
      </c>
      <c r="AW47" s="500">
        <f>'10.17.2 Inversion Privada'!R88/1000</f>
        <v>20.6339</v>
      </c>
      <c r="AX47" s="500">
        <f>'10.17.2 Inversion Privada'!S88/1000</f>
        <v>16.54345</v>
      </c>
      <c r="AY47" s="500">
        <f>'10.17.2 Inversion Privada'!T88/1000</f>
        <v>69.63589999999999</v>
      </c>
      <c r="AZ47" s="500">
        <f>'10.17.2 Inversion Privada'!U88/1000</f>
        <v>43.106</v>
      </c>
      <c r="BA47" s="500">
        <f>'10.17.2 Inversion Privada'!V88/1000</f>
        <v>254.363</v>
      </c>
      <c r="BB47" s="500">
        <f>'10.17.2 Inversion Privada'!W88/1000</f>
        <v>332.557</v>
      </c>
      <c r="BC47" s="500">
        <f>'10.17.2 Inversion Privada'!X88/1000</f>
        <v>278.546</v>
      </c>
      <c r="BD47" s="500">
        <f>'10.17.2 Inversion Privada'!Y88/1000</f>
        <v>470.27</v>
      </c>
      <c r="BE47" s="500">
        <f>'10.17.2 Inversion Privada'!Z88/1000</f>
        <v>188.4134</v>
      </c>
      <c r="BF47" s="500">
        <f>'10.17.2 Inversion Privada'!AA88/1000</f>
        <v>244.01244188</v>
      </c>
    </row>
    <row r="48" spans="33:58" ht="12.75">
      <c r="AG48" s="495" t="s">
        <v>306</v>
      </c>
      <c r="AH48" s="503">
        <f>'10.17.3 y 4 Publica y Gub.'!C26/1000</f>
        <v>86.948</v>
      </c>
      <c r="AI48" s="503">
        <f>'10.17.3 y 4 Publica y Gub.'!D26/1000</f>
        <v>63.737</v>
      </c>
      <c r="AJ48" s="503">
        <f>'10.17.3 y 4 Publica y Gub.'!E26/1000</f>
        <v>18.344</v>
      </c>
      <c r="AK48" s="503">
        <f>'10.17.3 y 4 Publica y Gub.'!F26/1000</f>
        <v>13.229</v>
      </c>
      <c r="AL48" s="503">
        <f>'10.17.3 y 4 Publica y Gub.'!G26/1000</f>
        <v>0.336</v>
      </c>
      <c r="AM48" s="503">
        <f>'10.17.3 y 4 Publica y Gub.'!H26/1000</f>
        <v>11.41265</v>
      </c>
      <c r="AN48" s="503">
        <f>'10.17.3 y 4 Publica y Gub.'!I26/1000</f>
        <v>16.601</v>
      </c>
      <c r="AO48" s="503">
        <f>'10.17.3 y 4 Publica y Gub.'!J26/1000</f>
        <v>32.72078</v>
      </c>
      <c r="AP48" s="503">
        <f>'10.17.3 y 4 Publica y Gub.'!K26/1000</f>
        <v>46.15527</v>
      </c>
      <c r="AQ48" s="503">
        <f>'10.17.3 y 4 Publica y Gub.'!L26/1000</f>
        <v>31.3179</v>
      </c>
      <c r="AR48" s="503">
        <f>'10.17.3 y 4 Publica y Gub.'!M26/1000</f>
        <v>26.69</v>
      </c>
      <c r="AS48" s="503">
        <f>'10.17.3 y 4 Publica y Gub.'!N26/1000</f>
        <v>3.116</v>
      </c>
      <c r="AT48" s="503">
        <f>'10.17.3 y 4 Publica y Gub.'!O26/1000</f>
        <v>0.377</v>
      </c>
      <c r="AU48" s="503">
        <f>'10.17.3 y 4 Publica y Gub.'!P26/1000</f>
        <v>0</v>
      </c>
      <c r="AV48" s="503">
        <f>'10.17.3 y 4 Publica y Gub.'!Q26/1000</f>
        <v>0</v>
      </c>
      <c r="AW48" s="503">
        <f>'10.17.3 y 4 Publica y Gub.'!R26/1000</f>
        <v>0</v>
      </c>
      <c r="AX48" s="503">
        <f>'10.17.3 y 4 Publica y Gub.'!S26/1000</f>
        <v>0</v>
      </c>
      <c r="AY48" s="503">
        <f>'10.17.3 y 4 Publica y Gub.'!T26/1000</f>
        <v>0</v>
      </c>
      <c r="AZ48" s="503">
        <f>'10.17.3 y 4 Publica y Gub.'!U26/1000</f>
        <v>0</v>
      </c>
      <c r="BA48" s="503">
        <f>'10.17.3 y 4 Publica y Gub.'!V26/1000</f>
        <v>0</v>
      </c>
      <c r="BB48" s="503">
        <f>'10.17.3 y 4 Publica y Gub.'!W26/1000</f>
        <v>0</v>
      </c>
      <c r="BC48" s="503">
        <f>'10.17.3 y 4 Publica y Gub.'!X26/1000</f>
        <v>0</v>
      </c>
      <c r="BD48" s="503">
        <f>'10.17.3 y 4 Publica y Gub.'!Y26/1000</f>
        <v>0</v>
      </c>
      <c r="BE48" s="503">
        <f>'10.17.3 y 4 Publica y Gub.'!Z26/1000</f>
        <v>0</v>
      </c>
      <c r="BF48" s="503">
        <f>'10.17.3 y 4 Publica y Gub.'!AA26/1000</f>
        <v>0</v>
      </c>
    </row>
    <row r="59" spans="33:36" ht="12.75">
      <c r="AG59" s="495" t="s">
        <v>247</v>
      </c>
      <c r="AH59" s="507"/>
      <c r="AI59" s="507"/>
      <c r="AJ59" s="507"/>
    </row>
    <row r="60" ht="12.75"/>
    <row r="61" ht="12.75"/>
    <row r="62" spans="34:58" ht="12.75">
      <c r="AH62" s="496">
        <v>1990</v>
      </c>
      <c r="AI62" s="496">
        <v>1991</v>
      </c>
      <c r="AJ62" s="496">
        <v>1992</v>
      </c>
      <c r="AK62" s="496">
        <v>1993</v>
      </c>
      <c r="AL62" s="496">
        <v>1994</v>
      </c>
      <c r="AM62" s="496">
        <v>1995</v>
      </c>
      <c r="AN62" s="496">
        <v>1996</v>
      </c>
      <c r="AO62" s="496">
        <v>1997</v>
      </c>
      <c r="AP62" s="496">
        <v>1998</v>
      </c>
      <c r="AQ62" s="496">
        <v>1999</v>
      </c>
      <c r="AR62" s="496">
        <v>2000</v>
      </c>
      <c r="AS62" s="496">
        <v>2001</v>
      </c>
      <c r="AT62" s="496">
        <v>2002</v>
      </c>
      <c r="AU62" s="496">
        <v>2003</v>
      </c>
      <c r="AV62" s="496">
        <v>2004</v>
      </c>
      <c r="AW62" s="496">
        <v>2005</v>
      </c>
      <c r="AX62" s="496">
        <v>2006</v>
      </c>
      <c r="AY62" s="496">
        <v>2007</v>
      </c>
      <c r="AZ62" s="496">
        <v>2008</v>
      </c>
      <c r="BA62" s="496">
        <v>2009</v>
      </c>
      <c r="BB62" s="496">
        <v>2010</v>
      </c>
      <c r="BC62" s="496">
        <v>2011</v>
      </c>
      <c r="BD62" s="530">
        <v>2012</v>
      </c>
      <c r="BE62" s="530">
        <v>2013</v>
      </c>
      <c r="BF62" s="530">
        <v>2014</v>
      </c>
    </row>
    <row r="63" spans="33:58" ht="12.75">
      <c r="AG63" s="495" t="s">
        <v>0</v>
      </c>
      <c r="AH63" s="526">
        <f>SUM(AH64:AH65)</f>
        <v>6.943</v>
      </c>
      <c r="AI63" s="526">
        <f aca="true" t="shared" si="3" ref="AI63:BD63">SUM(AI64:AI65)</f>
        <v>23.607</v>
      </c>
      <c r="AJ63" s="526">
        <f t="shared" si="3"/>
        <v>74.238</v>
      </c>
      <c r="AK63" s="526">
        <f t="shared" si="3"/>
        <v>85.55</v>
      </c>
      <c r="AL63" s="526">
        <f t="shared" si="3"/>
        <v>73.40098</v>
      </c>
      <c r="AM63" s="526">
        <f t="shared" si="3"/>
        <v>163.39924000000002</v>
      </c>
      <c r="AN63" s="526">
        <f t="shared" si="3"/>
        <v>193.27748</v>
      </c>
      <c r="AO63" s="526">
        <f t="shared" si="3"/>
        <v>171.46096999999997</v>
      </c>
      <c r="AP63" s="526">
        <f t="shared" si="3"/>
        <v>136.50491999999997</v>
      </c>
      <c r="AQ63" s="526">
        <f t="shared" si="3"/>
        <v>121.50028001183432</v>
      </c>
      <c r="AR63" s="526">
        <f t="shared" si="3"/>
        <v>139.201</v>
      </c>
      <c r="AS63" s="526">
        <f t="shared" si="3"/>
        <v>134.38179</v>
      </c>
      <c r="AT63" s="526">
        <f t="shared" si="3"/>
        <v>96.701</v>
      </c>
      <c r="AU63" s="526">
        <f t="shared" si="3"/>
        <v>91.96504</v>
      </c>
      <c r="AV63" s="526">
        <f t="shared" si="3"/>
        <v>100.73510999999999</v>
      </c>
      <c r="AW63" s="526">
        <f t="shared" si="3"/>
        <v>134.3424</v>
      </c>
      <c r="AX63" s="526">
        <f t="shared" si="3"/>
        <v>140.08258</v>
      </c>
      <c r="AY63" s="526">
        <f t="shared" si="3"/>
        <v>151.39657</v>
      </c>
      <c r="AZ63" s="526">
        <f t="shared" si="3"/>
        <v>235.905</v>
      </c>
      <c r="BA63" s="526">
        <f t="shared" si="3"/>
        <v>289.065</v>
      </c>
      <c r="BB63" s="526">
        <f t="shared" si="3"/>
        <v>253.17200000000003</v>
      </c>
      <c r="BC63" s="526">
        <f t="shared" si="3"/>
        <v>229.3906</v>
      </c>
      <c r="BD63" s="526">
        <f t="shared" si="3"/>
        <v>337.36420000000004</v>
      </c>
      <c r="BE63" s="526">
        <f>SUM(BE64:BE65)</f>
        <v>421.36850000000004</v>
      </c>
      <c r="BF63" s="526">
        <f>SUM(BF64:BF65)</f>
        <v>401.29525350396773</v>
      </c>
    </row>
    <row r="64" spans="33:58" ht="12.75">
      <c r="AG64" s="495" t="s">
        <v>205</v>
      </c>
      <c r="AH64" s="531">
        <f>'10.17.2 Inversion Privada'!C105/1000</f>
        <v>0</v>
      </c>
      <c r="AI64" s="531">
        <f>'10.17.2 Inversion Privada'!D105/1000</f>
        <v>0</v>
      </c>
      <c r="AJ64" s="531">
        <f>'10.17.2 Inversion Privada'!E105/1000</f>
        <v>0</v>
      </c>
      <c r="AK64" s="531">
        <f>'10.17.2 Inversion Privada'!F105/1000</f>
        <v>0</v>
      </c>
      <c r="AL64" s="531">
        <f>'10.17.2 Inversion Privada'!G105/1000</f>
        <v>28.875</v>
      </c>
      <c r="AM64" s="531">
        <f>'10.17.2 Inversion Privada'!H105/1000</f>
        <v>58.517</v>
      </c>
      <c r="AN64" s="531">
        <f>'10.17.2 Inversion Privada'!I105/1000</f>
        <v>98.16971</v>
      </c>
      <c r="AO64" s="531">
        <f>'10.17.2 Inversion Privada'!J105/1000</f>
        <v>99.52896</v>
      </c>
      <c r="AP64" s="531">
        <f>'10.17.2 Inversion Privada'!K105/1000</f>
        <v>94.40795999999999</v>
      </c>
      <c r="AQ64" s="531">
        <f>'10.17.2 Inversion Privada'!L105/1000</f>
        <v>87.42553</v>
      </c>
      <c r="AR64" s="531">
        <f>'10.17.2 Inversion Privada'!M105/1000</f>
        <v>123.118</v>
      </c>
      <c r="AS64" s="531">
        <f>'10.17.2 Inversion Privada'!N105/1000</f>
        <v>118.71619</v>
      </c>
      <c r="AT64" s="531">
        <f>'10.17.2 Inversion Privada'!O105/1000</f>
        <v>65.021</v>
      </c>
      <c r="AU64" s="531">
        <f>'10.17.2 Inversion Privada'!P105/1000</f>
        <v>48.2385</v>
      </c>
      <c r="AV64" s="531">
        <f>'10.17.2 Inversion Privada'!Q105/1000</f>
        <v>51.6209</v>
      </c>
      <c r="AW64" s="531">
        <f>'10.17.2 Inversion Privada'!R105/1000</f>
        <v>70.70308</v>
      </c>
      <c r="AX64" s="531">
        <f>'10.17.2 Inversion Privada'!S105/1000</f>
        <v>73.539</v>
      </c>
      <c r="AY64" s="531">
        <f>'10.17.2 Inversion Privada'!T105/1000</f>
        <v>85.18066999999999</v>
      </c>
      <c r="AZ64" s="531">
        <f>'10.17.2 Inversion Privada'!U105/1000</f>
        <v>133.536</v>
      </c>
      <c r="BA64" s="531">
        <f>'10.17.2 Inversion Privada'!V105/1000</f>
        <v>127.933</v>
      </c>
      <c r="BB64" s="531">
        <f>'10.17.2 Inversion Privada'!W105/1000</f>
        <v>112.675</v>
      </c>
      <c r="BC64" s="531">
        <f>'10.17.2 Inversion Privada'!X105/1000</f>
        <v>151.0126</v>
      </c>
      <c r="BD64" s="531">
        <f>'10.17.2 Inversion Privada'!Y105/1000</f>
        <v>251.02120000000002</v>
      </c>
      <c r="BE64" s="531">
        <f>'10.17.2 Inversion Privada'!Z105/1000</f>
        <v>277.2604</v>
      </c>
      <c r="BF64" s="531">
        <f>'10.17.2 Inversion Privada'!AA105/1000</f>
        <v>285.05428</v>
      </c>
    </row>
    <row r="65" spans="33:58" ht="12.75">
      <c r="AG65" s="495" t="s">
        <v>306</v>
      </c>
      <c r="AH65" s="532">
        <f>'10.17.3 y 4 Publica y Gub.'!C43/1000</f>
        <v>6.943</v>
      </c>
      <c r="AI65" s="532">
        <f>'10.17.3 y 4 Publica y Gub.'!D43/1000</f>
        <v>23.607</v>
      </c>
      <c r="AJ65" s="532">
        <f>'10.17.3 y 4 Publica y Gub.'!E43/1000</f>
        <v>74.238</v>
      </c>
      <c r="AK65" s="532">
        <f>'10.17.3 y 4 Publica y Gub.'!F43/1000</f>
        <v>85.55</v>
      </c>
      <c r="AL65" s="532">
        <f>'10.17.3 y 4 Publica y Gub.'!G43/1000</f>
        <v>44.525980000000004</v>
      </c>
      <c r="AM65" s="532">
        <f>'10.17.3 y 4 Publica y Gub.'!H43/1000</f>
        <v>104.88224000000001</v>
      </c>
      <c r="AN65" s="532">
        <f>'10.17.3 y 4 Publica y Gub.'!I43/1000</f>
        <v>95.10777</v>
      </c>
      <c r="AO65" s="532">
        <f>'10.17.3 y 4 Publica y Gub.'!J43/1000</f>
        <v>71.93200999999999</v>
      </c>
      <c r="AP65" s="532">
        <f>'10.17.3 y 4 Publica y Gub.'!K43/1000</f>
        <v>42.09695999999999</v>
      </c>
      <c r="AQ65" s="532">
        <f>'10.17.3 y 4 Publica y Gub.'!L43/1000</f>
        <v>34.07475001183432</v>
      </c>
      <c r="AR65" s="532">
        <f>'10.17.3 y 4 Publica y Gub.'!M43/1000</f>
        <v>16.083</v>
      </c>
      <c r="AS65" s="532">
        <f>'10.17.3 y 4 Publica y Gub.'!N43/1000</f>
        <v>15.665599999999998</v>
      </c>
      <c r="AT65" s="532">
        <f>'10.17.3 y 4 Publica y Gub.'!O43/1000</f>
        <v>31.68</v>
      </c>
      <c r="AU65" s="532">
        <f>'10.17.3 y 4 Publica y Gub.'!P43/1000</f>
        <v>43.72654</v>
      </c>
      <c r="AV65" s="532">
        <f>'10.17.3 y 4 Publica y Gub.'!Q43/1000</f>
        <v>49.11421</v>
      </c>
      <c r="AW65" s="532">
        <f>'10.17.3 y 4 Publica y Gub.'!R43/1000</f>
        <v>63.63932</v>
      </c>
      <c r="AX65" s="532">
        <f>'10.17.3 y 4 Publica y Gub.'!S43/1000</f>
        <v>66.54358</v>
      </c>
      <c r="AY65" s="532">
        <f>'10.17.3 y 4 Publica y Gub.'!T43/1000</f>
        <v>66.21589999999999</v>
      </c>
      <c r="AZ65" s="532">
        <f>'10.17.3 y 4 Publica y Gub.'!U43/1000</f>
        <v>102.369</v>
      </c>
      <c r="BA65" s="532">
        <f>'10.17.3 y 4 Publica y Gub.'!V43/1000</f>
        <v>161.132</v>
      </c>
      <c r="BB65" s="532">
        <f>'10.17.3 y 4 Publica y Gub.'!W43/1000</f>
        <v>140.497</v>
      </c>
      <c r="BC65" s="532">
        <f>'10.17.3 y 4 Publica y Gub.'!X43/1000</f>
        <v>78.378</v>
      </c>
      <c r="BD65" s="532">
        <f>'10.17.3 y 4 Publica y Gub.'!Y43/1000</f>
        <v>86.343</v>
      </c>
      <c r="BE65" s="532">
        <f>'10.17.3 y 4 Publica y Gub.'!Z43/1000</f>
        <v>144.1081</v>
      </c>
      <c r="BF65" s="532">
        <f>'10.17.3 y 4 Publica y Gub.'!AA43/1000</f>
        <v>116.2409735039677</v>
      </c>
    </row>
  </sheetData>
  <sheetProtection/>
  <mergeCells count="4">
    <mergeCell ref="B6:AB6"/>
    <mergeCell ref="B10:B11"/>
    <mergeCell ref="AK12:AL12"/>
    <mergeCell ref="B26:AB26"/>
  </mergeCells>
  <printOptions horizontalCentered="1"/>
  <pageMargins left="0.7874015748031497" right="0.3937007874015748" top="0.9055118110236221" bottom="0.7086614173228347" header="0" footer="0"/>
  <pageSetup fitToHeight="3" horizontalDpi="600" verticalDpi="600" orientation="landscape" paperSize="9" scale="47" r:id="rId2"/>
  <rowBreaks count="2" manualBreakCount="2">
    <brk id="84" min="1" max="26" man="1"/>
    <brk id="158" min="1" max="26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BB127"/>
  <sheetViews>
    <sheetView view="pageBreakPreview" zoomScaleNormal="85" zoomScaleSheetLayoutView="100" zoomScalePageLayoutView="0" workbookViewId="0" topLeftCell="K1">
      <selection activeCell="BA36" sqref="BA36"/>
    </sheetView>
  </sheetViews>
  <sheetFormatPr defaultColWidth="11.421875" defaultRowHeight="12.75"/>
  <cols>
    <col min="12" max="35" width="11.421875" style="0" hidden="1" customWidth="1"/>
    <col min="36" max="36" width="11.421875" style="0" customWidth="1"/>
    <col min="37" max="40" width="11.421875" style="574" customWidth="1"/>
    <col min="41" max="41" width="17.140625" style="574" customWidth="1"/>
    <col min="42" max="42" width="16.57421875" style="574" customWidth="1"/>
    <col min="43" max="45" width="11.421875" style="574" customWidth="1"/>
    <col min="46" max="46" width="15.140625" style="574" customWidth="1"/>
    <col min="47" max="47" width="16.140625" style="574" customWidth="1"/>
    <col min="48" max="50" width="11.421875" style="574" customWidth="1"/>
    <col min="51" max="51" width="7.28125" style="574" customWidth="1"/>
    <col min="52" max="53" width="11.421875" style="574" customWidth="1"/>
  </cols>
  <sheetData>
    <row r="1" spans="1:54" ht="12.75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</row>
    <row r="2" spans="1:54" ht="12.75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</row>
    <row r="3" spans="1:54" ht="12.75">
      <c r="A3" s="297"/>
      <c r="B3" s="297"/>
      <c r="C3" s="298"/>
      <c r="D3" s="298"/>
      <c r="E3" s="298"/>
      <c r="F3" s="298"/>
      <c r="G3" s="298"/>
      <c r="H3" s="298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</row>
    <row r="4" spans="1:54" ht="18">
      <c r="A4" s="297"/>
      <c r="B4" s="299" t="s">
        <v>224</v>
      </c>
      <c r="C4" s="300"/>
      <c r="D4" s="300"/>
      <c r="E4" s="300"/>
      <c r="F4" s="300"/>
      <c r="G4" s="300"/>
      <c r="H4" s="300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575" t="s">
        <v>257</v>
      </c>
      <c r="AM4" s="297"/>
      <c r="AN4" s="297"/>
      <c r="AO4" s="297"/>
      <c r="AP4" s="297"/>
      <c r="AQ4" s="297"/>
      <c r="AR4" s="297"/>
      <c r="AS4" s="297"/>
      <c r="AT4" s="297"/>
      <c r="AZ4" s="297"/>
      <c r="BA4" s="297"/>
      <c r="BB4" s="297"/>
    </row>
    <row r="5" spans="1:54" ht="12.75">
      <c r="A5" s="297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301" t="s">
        <v>78</v>
      </c>
      <c r="N5" s="297"/>
      <c r="O5" s="297"/>
      <c r="P5" s="297"/>
      <c r="Q5" s="301" t="s">
        <v>79</v>
      </c>
      <c r="R5" s="297"/>
      <c r="S5" s="297"/>
      <c r="T5" s="297"/>
      <c r="U5" s="297"/>
      <c r="V5" s="301" t="s">
        <v>80</v>
      </c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Z5" s="297"/>
      <c r="BA5" s="297"/>
      <c r="BB5" s="297"/>
    </row>
    <row r="6" spans="1:54" ht="12.75">
      <c r="A6" s="297"/>
      <c r="B6" s="297"/>
      <c r="C6" s="1343" t="s">
        <v>81</v>
      </c>
      <c r="D6" s="302"/>
      <c r="E6" s="302" t="s">
        <v>82</v>
      </c>
      <c r="F6" s="1343" t="s">
        <v>83</v>
      </c>
      <c r="G6" s="302" t="s">
        <v>82</v>
      </c>
      <c r="H6" s="303"/>
      <c r="I6" s="302" t="s">
        <v>84</v>
      </c>
      <c r="J6" s="302" t="s">
        <v>82</v>
      </c>
      <c r="K6" s="304"/>
      <c r="L6" s="304"/>
      <c r="M6" s="304" t="s">
        <v>85</v>
      </c>
      <c r="N6" s="304" t="s">
        <v>86</v>
      </c>
      <c r="O6" s="300" t="s">
        <v>87</v>
      </c>
      <c r="P6" s="297"/>
      <c r="Q6" s="301" t="s">
        <v>88</v>
      </c>
      <c r="R6" s="301" t="s">
        <v>89</v>
      </c>
      <c r="S6" s="301" t="s">
        <v>90</v>
      </c>
      <c r="T6" s="301" t="s">
        <v>86</v>
      </c>
      <c r="U6" s="297"/>
      <c r="V6" s="304" t="s">
        <v>91</v>
      </c>
      <c r="W6" s="304" t="s">
        <v>92</v>
      </c>
      <c r="X6" s="300" t="s">
        <v>93</v>
      </c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Z6" s="297"/>
      <c r="BA6" s="297"/>
      <c r="BB6" s="297"/>
    </row>
    <row r="7" spans="1:54" ht="12.75">
      <c r="A7" s="297"/>
      <c r="B7" s="297"/>
      <c r="C7" s="1344"/>
      <c r="D7" s="305"/>
      <c r="E7" s="305" t="s">
        <v>94</v>
      </c>
      <c r="F7" s="1344"/>
      <c r="G7" s="305" t="s">
        <v>95</v>
      </c>
      <c r="H7" s="306"/>
      <c r="I7" s="305" t="s">
        <v>96</v>
      </c>
      <c r="J7" s="305" t="s">
        <v>96</v>
      </c>
      <c r="K7" s="304"/>
      <c r="L7" s="304"/>
      <c r="M7" s="304" t="s">
        <v>97</v>
      </c>
      <c r="N7" s="304" t="s">
        <v>97</v>
      </c>
      <c r="O7" s="304" t="s">
        <v>97</v>
      </c>
      <c r="P7" s="297"/>
      <c r="Q7" s="301" t="s">
        <v>98</v>
      </c>
      <c r="R7" s="301" t="s">
        <v>98</v>
      </c>
      <c r="S7" s="301" t="s">
        <v>98</v>
      </c>
      <c r="T7" s="301" t="s">
        <v>98</v>
      </c>
      <c r="U7" s="297"/>
      <c r="V7" s="304" t="s">
        <v>98</v>
      </c>
      <c r="W7" s="304" t="s">
        <v>98</v>
      </c>
      <c r="X7" s="304" t="s">
        <v>98</v>
      </c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Z7" s="297"/>
      <c r="BA7" s="297"/>
      <c r="BB7" s="297"/>
    </row>
    <row r="8" spans="1:54" ht="12.75">
      <c r="A8" s="297"/>
      <c r="B8" s="1341">
        <v>2006</v>
      </c>
      <c r="C8" s="307" t="s">
        <v>99</v>
      </c>
      <c r="D8" s="307">
        <v>38718</v>
      </c>
      <c r="E8" s="308">
        <v>0.09745721069298835</v>
      </c>
      <c r="F8" s="309">
        <v>3.314</v>
      </c>
      <c r="G8" s="308">
        <v>0.02940772803047325</v>
      </c>
      <c r="H8" s="310"/>
      <c r="I8" s="311">
        <v>30.901376053108024</v>
      </c>
      <c r="J8" s="312">
        <v>29.40772803047325</v>
      </c>
      <c r="K8" s="313"/>
      <c r="L8" s="313"/>
      <c r="M8" s="314">
        <v>0.13410859</v>
      </c>
      <c r="N8" s="314">
        <v>0.09600591000000001</v>
      </c>
      <c r="O8" s="315">
        <v>0.10240716024</v>
      </c>
      <c r="P8" s="316"/>
      <c r="Q8" s="316">
        <v>38.69765365890804</v>
      </c>
      <c r="R8" s="316">
        <v>34.704840853677865</v>
      </c>
      <c r="S8" s="316">
        <v>16.498884912225765</v>
      </c>
      <c r="T8" s="316">
        <v>27.141338972923897</v>
      </c>
      <c r="U8" s="297"/>
      <c r="V8" s="317">
        <v>40.467287266143636</v>
      </c>
      <c r="W8" s="317">
        <v>28.969797827398917</v>
      </c>
      <c r="X8" s="317">
        <v>30.901376053108027</v>
      </c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S8" s="297"/>
      <c r="AT8" s="297"/>
      <c r="AZ8" s="297"/>
      <c r="BA8" s="297"/>
      <c r="BB8" s="297"/>
    </row>
    <row r="9" spans="1:54" ht="12.75">
      <c r="A9" s="297"/>
      <c r="B9" s="1341"/>
      <c r="C9" s="307" t="s">
        <v>104</v>
      </c>
      <c r="D9" s="307"/>
      <c r="E9" s="308">
        <v>0.12639009529168416</v>
      </c>
      <c r="F9" s="309">
        <v>3.293</v>
      </c>
      <c r="G9" s="308">
        <v>0.038381444060638974</v>
      </c>
      <c r="H9" s="310"/>
      <c r="I9" s="311">
        <v>30.788158530649426</v>
      </c>
      <c r="J9" s="312">
        <v>38.38144406063898</v>
      </c>
      <c r="K9" s="313"/>
      <c r="L9" s="313"/>
      <c r="M9" s="314">
        <v>0.13222592035714287</v>
      </c>
      <c r="N9" s="314">
        <v>0.09466134749999999</v>
      </c>
      <c r="O9" s="315">
        <v>0.10138540604142857</v>
      </c>
      <c r="P9" s="316"/>
      <c r="Q9" s="316">
        <v>59.326060931089884</v>
      </c>
      <c r="R9" s="316">
        <v>47.61646065896959</v>
      </c>
      <c r="S9" s="316">
        <v>12.995887652430088</v>
      </c>
      <c r="T9" s="316">
        <v>33.20853667686014</v>
      </c>
      <c r="U9" s="297"/>
      <c r="V9" s="317">
        <v>40.153635091753074</v>
      </c>
      <c r="W9" s="317">
        <v>28.74623367749772</v>
      </c>
      <c r="X9" s="317">
        <v>30.788158530649426</v>
      </c>
      <c r="Y9" s="297"/>
      <c r="Z9" s="297"/>
      <c r="AA9" s="297"/>
      <c r="AB9" s="297">
        <v>2006</v>
      </c>
      <c r="AC9" s="297">
        <v>29.66864490930484</v>
      </c>
      <c r="AD9" s="297">
        <v>68.10256518918492</v>
      </c>
      <c r="AE9" s="297"/>
      <c r="AF9" s="297"/>
      <c r="AG9" s="297"/>
      <c r="AH9" s="297"/>
      <c r="AI9" s="297"/>
      <c r="AJ9" s="297"/>
      <c r="AK9" s="297"/>
      <c r="AL9" s="297"/>
      <c r="AM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</row>
    <row r="10" spans="1:54" ht="12.75">
      <c r="A10" s="297"/>
      <c r="B10" s="1341"/>
      <c r="C10" s="307" t="s">
        <v>108</v>
      </c>
      <c r="D10" s="307">
        <v>38777</v>
      </c>
      <c r="E10" s="308">
        <v>0.08080583027717839</v>
      </c>
      <c r="F10" s="309">
        <v>3.358</v>
      </c>
      <c r="G10" s="308">
        <v>0.024063677866938173</v>
      </c>
      <c r="H10" s="310"/>
      <c r="I10" s="311">
        <v>30.163043478260867</v>
      </c>
      <c r="J10" s="312">
        <v>24.06367786693817</v>
      </c>
      <c r="K10" s="313"/>
      <c r="L10" s="313"/>
      <c r="M10" s="314">
        <v>0.132</v>
      </c>
      <c r="N10" s="314">
        <v>0.0945</v>
      </c>
      <c r="O10" s="315">
        <v>0.10128749999999999</v>
      </c>
      <c r="P10" s="316"/>
      <c r="Q10" s="316">
        <v>38.753500734145526</v>
      </c>
      <c r="R10" s="316">
        <v>30.524414414716762</v>
      </c>
      <c r="S10" s="316">
        <v>6.143078524799099</v>
      </c>
      <c r="T10" s="316">
        <v>20.34271089040926</v>
      </c>
      <c r="U10" s="297"/>
      <c r="V10" s="317">
        <v>39.30911256700417</v>
      </c>
      <c r="W10" s="317">
        <v>28.141751042287076</v>
      </c>
      <c r="X10" s="317">
        <v>30.163043478260864</v>
      </c>
      <c r="Y10" s="297"/>
      <c r="Z10" s="297"/>
      <c r="AA10" s="297"/>
      <c r="AB10" s="297">
        <v>2007</v>
      </c>
      <c r="AC10" s="297">
        <v>29.720650467870687</v>
      </c>
      <c r="AD10" s="297">
        <v>38.34210568955644</v>
      </c>
      <c r="AE10" s="322">
        <f aca="true" t="shared" si="0" ref="AE10:AF15">+AC10/AC9-1</f>
        <v>0.0017528794700540917</v>
      </c>
      <c r="AF10" s="322">
        <f t="shared" si="0"/>
        <v>-0.43699469200544316</v>
      </c>
      <c r="AG10" s="297"/>
      <c r="AH10" s="297"/>
      <c r="AI10" s="297"/>
      <c r="AJ10" s="297"/>
      <c r="AK10" s="297"/>
      <c r="AL10" s="297"/>
      <c r="AM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</row>
    <row r="11" spans="1:54" ht="12.75">
      <c r="A11" s="297"/>
      <c r="B11" s="1341"/>
      <c r="C11" s="307" t="s">
        <v>109</v>
      </c>
      <c r="D11" s="307"/>
      <c r="E11" s="308">
        <v>0.12807494669647956</v>
      </c>
      <c r="F11" s="309">
        <v>3.312</v>
      </c>
      <c r="G11" s="308">
        <v>0.03866997182864721</v>
      </c>
      <c r="H11" s="310"/>
      <c r="I11" s="311">
        <v>30.344202898550723</v>
      </c>
      <c r="J11" s="312">
        <v>38.66997182864721</v>
      </c>
      <c r="K11" s="313"/>
      <c r="L11" s="313"/>
      <c r="M11" s="314">
        <v>0.132</v>
      </c>
      <c r="N11" s="314">
        <v>0.0945</v>
      </c>
      <c r="O11" s="315">
        <v>0.10049999999999999</v>
      </c>
      <c r="P11" s="316"/>
      <c r="Q11" s="316">
        <v>75.80590088581906</v>
      </c>
      <c r="R11" s="316">
        <v>44.33604756592756</v>
      </c>
      <c r="S11" s="316">
        <v>10.37900007399412</v>
      </c>
      <c r="T11" s="316">
        <v>30.423545217470256</v>
      </c>
      <c r="U11" s="297"/>
      <c r="V11" s="317">
        <v>39.85507246376812</v>
      </c>
      <c r="W11" s="317">
        <v>28.532608695652176</v>
      </c>
      <c r="X11" s="317">
        <v>30.344202898550723</v>
      </c>
      <c r="Y11" s="297"/>
      <c r="Z11" s="297"/>
      <c r="AA11" s="297"/>
      <c r="AB11" s="297">
        <v>2008</v>
      </c>
      <c r="AC11" s="297">
        <v>32.42206367506416</v>
      </c>
      <c r="AD11" s="297">
        <v>91.87231338017166</v>
      </c>
      <c r="AE11" s="322">
        <f t="shared" si="0"/>
        <v>0.09089347523244196</v>
      </c>
      <c r="AF11" s="322">
        <f t="shared" si="0"/>
        <v>1.3961207066724999</v>
      </c>
      <c r="AG11" s="297"/>
      <c r="AH11" s="297"/>
      <c r="AI11" s="297"/>
      <c r="AJ11" s="297"/>
      <c r="AK11" s="297"/>
      <c r="AL11" s="297"/>
      <c r="AM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</row>
    <row r="12" spans="1:54" ht="12.75">
      <c r="A12" s="297"/>
      <c r="B12" s="1341"/>
      <c r="C12" s="307" t="s">
        <v>110</v>
      </c>
      <c r="D12" s="307">
        <v>38838</v>
      </c>
      <c r="E12" s="308">
        <v>0.3657487828198081</v>
      </c>
      <c r="F12" s="309">
        <v>3.2933</v>
      </c>
      <c r="G12" s="308">
        <v>0.11105844679191332</v>
      </c>
      <c r="H12" s="310"/>
      <c r="I12" s="311">
        <v>29.25181428961832</v>
      </c>
      <c r="J12" s="312">
        <v>111.05844679191331</v>
      </c>
      <c r="K12" s="313"/>
      <c r="L12" s="313"/>
      <c r="M12" s="314">
        <v>0.11960000000000001</v>
      </c>
      <c r="N12" s="314">
        <v>0.09140000000000001</v>
      </c>
      <c r="O12" s="315">
        <v>0.096335</v>
      </c>
      <c r="P12" s="316"/>
      <c r="Q12" s="316">
        <v>131.02692118349276</v>
      </c>
      <c r="R12" s="316">
        <v>116.25349177027636</v>
      </c>
      <c r="S12" s="316">
        <v>91.90686008032755</v>
      </c>
      <c r="T12" s="316">
        <v>106.14083428030759</v>
      </c>
      <c r="U12" s="297"/>
      <c r="V12" s="317">
        <v>36.316157046123955</v>
      </c>
      <c r="W12" s="317">
        <v>27.75331734126864</v>
      </c>
      <c r="X12" s="317">
        <v>29.251814289618316</v>
      </c>
      <c r="Y12" s="297"/>
      <c r="Z12" s="297"/>
      <c r="AA12" s="297"/>
      <c r="AB12" s="297">
        <v>2009</v>
      </c>
      <c r="AC12" s="297">
        <v>32.40683539383786</v>
      </c>
      <c r="AD12" s="297">
        <v>32.20189757496102</v>
      </c>
      <c r="AE12" s="322">
        <f t="shared" si="0"/>
        <v>-0.00046968883223841296</v>
      </c>
      <c r="AF12" s="322">
        <f t="shared" si="0"/>
        <v>-0.6494929060759779</v>
      </c>
      <c r="AG12" s="297"/>
      <c r="AH12" s="297"/>
      <c r="AI12" s="297"/>
      <c r="AJ12" s="297"/>
      <c r="AK12" s="297"/>
      <c r="AL12" s="297"/>
      <c r="AM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</row>
    <row r="13" spans="1:54" ht="12.75">
      <c r="A13" s="297"/>
      <c r="B13" s="1341"/>
      <c r="C13" s="307" t="s">
        <v>111</v>
      </c>
      <c r="D13" s="307"/>
      <c r="E13" s="308">
        <v>0.286640143090037</v>
      </c>
      <c r="F13" s="309">
        <v>3.26</v>
      </c>
      <c r="G13" s="308">
        <v>0.08792642426074755</v>
      </c>
      <c r="H13" s="310"/>
      <c r="I13" s="311">
        <v>29.54196319018405</v>
      </c>
      <c r="J13" s="312">
        <v>87.92642426074755</v>
      </c>
      <c r="K13" s="313"/>
      <c r="L13" s="313"/>
      <c r="M13" s="314">
        <v>0.11960000000000001</v>
      </c>
      <c r="N13" s="314">
        <v>0.09140000000000001</v>
      </c>
      <c r="O13" s="315">
        <v>0.0963068</v>
      </c>
      <c r="P13" s="316"/>
      <c r="Q13" s="316">
        <v>102.55878276092687</v>
      </c>
      <c r="R13" s="316">
        <v>91.96587719375808</v>
      </c>
      <c r="S13" s="316">
        <v>73.6465905117936</v>
      </c>
      <c r="T13" s="316">
        <v>84.37314308214613</v>
      </c>
      <c r="U13" s="297"/>
      <c r="V13" s="317">
        <v>36.68711656441719</v>
      </c>
      <c r="W13" s="317">
        <v>28.036809815950924</v>
      </c>
      <c r="X13" s="317">
        <v>29.54196319018405</v>
      </c>
      <c r="Y13" s="297"/>
      <c r="Z13" s="297"/>
      <c r="AA13" s="297"/>
      <c r="AB13" s="297">
        <v>2010</v>
      </c>
      <c r="AC13" s="297">
        <v>30.011656494435186</v>
      </c>
      <c r="AD13" s="297">
        <v>21.464197878491575</v>
      </c>
      <c r="AE13" s="322">
        <f t="shared" si="0"/>
        <v>-0.07390968202523451</v>
      </c>
      <c r="AF13" s="322">
        <f t="shared" si="0"/>
        <v>-0.33344928420673814</v>
      </c>
      <c r="AG13" s="297"/>
      <c r="AH13" s="297"/>
      <c r="AI13" s="297"/>
      <c r="AJ13" s="297"/>
      <c r="AK13" s="297"/>
      <c r="AL13" s="297"/>
      <c r="AM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</row>
    <row r="14" spans="1:54" ht="12.75">
      <c r="A14" s="297"/>
      <c r="B14" s="1341"/>
      <c r="C14" s="307" t="s">
        <v>112</v>
      </c>
      <c r="D14" s="307">
        <v>38899</v>
      </c>
      <c r="E14" s="308">
        <v>0.29388779349929317</v>
      </c>
      <c r="F14" s="309">
        <v>3.242</v>
      </c>
      <c r="G14" s="308">
        <v>0.0906501522206333</v>
      </c>
      <c r="H14" s="310"/>
      <c r="I14" s="311">
        <v>29.592905613818633</v>
      </c>
      <c r="J14" s="312">
        <v>90.6501522206333</v>
      </c>
      <c r="K14" s="313"/>
      <c r="L14" s="313"/>
      <c r="M14" s="314">
        <v>0.11960000000000001</v>
      </c>
      <c r="N14" s="314">
        <v>0.09140000000000001</v>
      </c>
      <c r="O14" s="315">
        <v>0.0959402</v>
      </c>
      <c r="P14" s="316"/>
      <c r="Q14" s="316">
        <v>110.23382286108061</v>
      </c>
      <c r="R14" s="316">
        <v>96.57509616012517</v>
      </c>
      <c r="S14" s="316">
        <v>74.05548583234027</v>
      </c>
      <c r="T14" s="316">
        <v>84.84159359895014</v>
      </c>
      <c r="U14" s="297"/>
      <c r="V14" s="317">
        <v>36.89080814312153</v>
      </c>
      <c r="W14" s="317">
        <v>28.19247378161629</v>
      </c>
      <c r="X14" s="317">
        <v>29.59290561381863</v>
      </c>
      <c r="Y14" s="297"/>
      <c r="Z14" s="297"/>
      <c r="AA14" s="297"/>
      <c r="AB14" s="297">
        <v>2011</v>
      </c>
      <c r="AC14" s="297">
        <v>33.16769010500328</v>
      </c>
      <c r="AD14" s="297">
        <v>23.857642302848493</v>
      </c>
      <c r="AE14" s="322">
        <f t="shared" si="0"/>
        <v>0.1051602603526165</v>
      </c>
      <c r="AF14" s="322">
        <f t="shared" si="0"/>
        <v>0.11150868240714895</v>
      </c>
      <c r="AG14" s="297">
        <f>+AC14/AC13-1</f>
        <v>0.1051602603526165</v>
      </c>
      <c r="AH14" s="297">
        <f>1+AG14</f>
        <v>1.1051602603526165</v>
      </c>
      <c r="AI14" s="297"/>
      <c r="AJ14" s="297"/>
      <c r="AK14" s="297"/>
      <c r="AL14" s="297"/>
      <c r="AM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</row>
    <row r="15" spans="1:54" ht="12.75">
      <c r="A15" s="297"/>
      <c r="B15" s="1341"/>
      <c r="C15" s="307" t="s">
        <v>113</v>
      </c>
      <c r="D15" s="307"/>
      <c r="E15" s="308">
        <v>0.34327919081008</v>
      </c>
      <c r="F15" s="309">
        <v>3.241</v>
      </c>
      <c r="G15" s="308">
        <v>0.10591767689295896</v>
      </c>
      <c r="H15" s="310"/>
      <c r="I15" s="311">
        <v>29.723850663375504</v>
      </c>
      <c r="J15" s="312">
        <v>105.91767689295897</v>
      </c>
      <c r="K15" s="313"/>
      <c r="L15" s="313"/>
      <c r="M15" s="314">
        <v>0.11960000000000001</v>
      </c>
      <c r="N15" s="314">
        <v>0.09140000000000001</v>
      </c>
      <c r="O15" s="315">
        <v>0.096335</v>
      </c>
      <c r="P15" s="316"/>
      <c r="Q15" s="316">
        <v>118.23580553117377</v>
      </c>
      <c r="R15" s="316">
        <v>117.77698098157893</v>
      </c>
      <c r="S15" s="316">
        <v>81.8356115536674</v>
      </c>
      <c r="T15" s="316">
        <v>102.90896723214472</v>
      </c>
      <c r="U15" s="297"/>
      <c r="V15" s="317">
        <v>36.902190681888314</v>
      </c>
      <c r="W15" s="317">
        <v>28.20117247763036</v>
      </c>
      <c r="X15" s="317">
        <v>29.7238506633755</v>
      </c>
      <c r="Y15" s="297"/>
      <c r="Z15" s="297"/>
      <c r="AA15" s="297"/>
      <c r="AB15" s="297">
        <v>2012</v>
      </c>
      <c r="AC15" s="297">
        <v>39.002663089805004</v>
      </c>
      <c r="AD15" s="297">
        <v>30.679836970693586</v>
      </c>
      <c r="AE15" s="322">
        <f t="shared" si="0"/>
        <v>0.17592340516717297</v>
      </c>
      <c r="AF15" s="322">
        <f t="shared" si="0"/>
        <v>0.28595426912870403</v>
      </c>
      <c r="AG15" s="297">
        <f>+AC15/AC14-1</f>
        <v>0.17592340516717297</v>
      </c>
      <c r="AH15" s="297">
        <f>1+AG15</f>
        <v>1.175923405167173</v>
      </c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</row>
    <row r="16" spans="1:54" ht="12.75">
      <c r="A16" s="297"/>
      <c r="B16" s="1341"/>
      <c r="C16" s="307" t="s">
        <v>114</v>
      </c>
      <c r="D16" s="307">
        <v>38961</v>
      </c>
      <c r="E16" s="308">
        <v>0.48686454113055805</v>
      </c>
      <c r="F16" s="309">
        <v>3.25</v>
      </c>
      <c r="G16" s="308">
        <v>0.14980447419401785</v>
      </c>
      <c r="H16" s="310"/>
      <c r="I16" s="311">
        <v>29.693600000000004</v>
      </c>
      <c r="J16" s="312">
        <v>149.80447419401784</v>
      </c>
      <c r="K16" s="313"/>
      <c r="L16" s="313"/>
      <c r="M16" s="314">
        <v>0.11960000000000001</v>
      </c>
      <c r="N16" s="314">
        <v>0.09140000000000001</v>
      </c>
      <c r="O16" s="315">
        <v>0.09650420000000001</v>
      </c>
      <c r="P16" s="316"/>
      <c r="Q16" s="316">
        <v>165.14241426202506</v>
      </c>
      <c r="R16" s="316">
        <v>159.25845283913262</v>
      </c>
      <c r="S16" s="316">
        <v>127.42503924158083</v>
      </c>
      <c r="T16" s="316">
        <v>145.89430242190153</v>
      </c>
      <c r="U16" s="297"/>
      <c r="V16" s="317">
        <v>36.8</v>
      </c>
      <c r="W16" s="317">
        <v>28.123076923076923</v>
      </c>
      <c r="X16" s="317">
        <v>29.693600000000004</v>
      </c>
      <c r="Y16" s="297"/>
      <c r="Z16" s="297"/>
      <c r="AA16" s="297"/>
      <c r="AB16" s="297">
        <v>2013</v>
      </c>
      <c r="AC16" s="297">
        <v>40.201477951647206</v>
      </c>
      <c r="AD16" s="297">
        <v>26.5187104174116</v>
      </c>
      <c r="AE16" s="322">
        <f>+AC16/AC15-1</f>
        <v>0.03073674377264668</v>
      </c>
      <c r="AF16" s="322">
        <f>+AD16/AD15-1</f>
        <v>-0.13563066052980766</v>
      </c>
      <c r="AG16" s="297">
        <f>+AC16/AC15-1</f>
        <v>0.03073674377264668</v>
      </c>
      <c r="AH16" s="297">
        <f>1+AG16</f>
        <v>1.0307367437726467</v>
      </c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1345" t="s">
        <v>100</v>
      </c>
      <c r="AT16" s="318" t="s">
        <v>101</v>
      </c>
      <c r="AU16" s="318" t="s">
        <v>102</v>
      </c>
      <c r="AV16" s="1347" t="s">
        <v>103</v>
      </c>
      <c r="AW16" s="1348"/>
      <c r="AX16" s="297"/>
      <c r="AY16" s="297"/>
      <c r="AZ16" s="297"/>
      <c r="BA16" s="297"/>
      <c r="BB16" s="297"/>
    </row>
    <row r="17" spans="1:54" ht="12.75">
      <c r="A17" s="297"/>
      <c r="B17" s="1341"/>
      <c r="C17" s="307" t="s">
        <v>115</v>
      </c>
      <c r="D17" s="307"/>
      <c r="E17" s="308">
        <v>0.23120895428681437</v>
      </c>
      <c r="F17" s="309">
        <v>3.216</v>
      </c>
      <c r="G17" s="308">
        <v>0.07189333155684526</v>
      </c>
      <c r="H17" s="310"/>
      <c r="I17" s="311">
        <v>29.954912935323385</v>
      </c>
      <c r="J17" s="312">
        <v>71.89333155684525</v>
      </c>
      <c r="K17" s="313"/>
      <c r="L17" s="313"/>
      <c r="M17" s="314">
        <v>0.11960000000000001</v>
      </c>
      <c r="N17" s="314">
        <v>0.09140000000000001</v>
      </c>
      <c r="O17" s="315">
        <v>0.096335</v>
      </c>
      <c r="P17" s="316"/>
      <c r="Q17" s="316">
        <v>104.96716793964137</v>
      </c>
      <c r="R17" s="316">
        <v>78.48220902774763</v>
      </c>
      <c r="S17" s="316">
        <v>43.191381916626156</v>
      </c>
      <c r="T17" s="316">
        <v>63.80053642538641</v>
      </c>
      <c r="U17" s="297"/>
      <c r="V17" s="317">
        <v>37.18905472636816</v>
      </c>
      <c r="W17" s="317">
        <v>28.420398009950247</v>
      </c>
      <c r="X17" s="317">
        <v>29.95491293532338</v>
      </c>
      <c r="Y17" s="297"/>
      <c r="Z17" s="297"/>
      <c r="AA17" s="297"/>
      <c r="AB17" s="297"/>
      <c r="AC17" s="297"/>
      <c r="AD17" s="297"/>
      <c r="AE17" s="297"/>
      <c r="AF17" s="297"/>
      <c r="AG17" s="297"/>
      <c r="AH17" s="297">
        <f>+PRODUCT(AH14:AH16)^(1/3)-1</f>
        <v>0.10234452865449817</v>
      </c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1346"/>
      <c r="AT17" s="319" t="s">
        <v>105</v>
      </c>
      <c r="AU17" s="319" t="s">
        <v>105</v>
      </c>
      <c r="AV17" s="320" t="s">
        <v>106</v>
      </c>
      <c r="AW17" s="321" t="s">
        <v>107</v>
      </c>
      <c r="AX17" s="297"/>
      <c r="AY17" s="297"/>
      <c r="AZ17" s="297"/>
      <c r="BA17" s="297"/>
      <c r="BB17" s="297"/>
    </row>
    <row r="18" spans="1:54" ht="12.75">
      <c r="A18" s="297"/>
      <c r="B18" s="1341"/>
      <c r="C18" s="307" t="s">
        <v>116</v>
      </c>
      <c r="D18" s="307">
        <v>39022</v>
      </c>
      <c r="E18" s="311">
        <v>0.13081170576721798</v>
      </c>
      <c r="F18" s="311">
        <v>3.223</v>
      </c>
      <c r="G18" s="311">
        <v>0.04058693942513745</v>
      </c>
      <c r="H18" s="311"/>
      <c r="I18" s="311">
        <v>27.964788681352772</v>
      </c>
      <c r="J18" s="311">
        <v>40.58693942513745</v>
      </c>
      <c r="K18" s="326"/>
      <c r="L18" s="326"/>
      <c r="M18" s="326">
        <v>0.10822824</v>
      </c>
      <c r="N18" s="326">
        <v>0.08631816</v>
      </c>
      <c r="O18" s="327">
        <v>0.09013051391999999</v>
      </c>
      <c r="P18" s="328"/>
      <c r="Q18" s="328">
        <v>60.61821291664199</v>
      </c>
      <c r="R18" s="328">
        <v>48.256655879549704</v>
      </c>
      <c r="S18" s="328">
        <v>18.20420878085922</v>
      </c>
      <c r="T18" s="328">
        <v>35.73647736869842</v>
      </c>
      <c r="U18" s="328"/>
      <c r="V18" s="328">
        <v>33.579968973006515</v>
      </c>
      <c r="W18" s="328">
        <v>26.781929878994728</v>
      </c>
      <c r="X18" s="328">
        <v>27.964788681352772</v>
      </c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323">
        <v>41275</v>
      </c>
      <c r="AT18" s="324">
        <v>41.47157086013164</v>
      </c>
      <c r="AU18" s="324">
        <v>19.348428333839077</v>
      </c>
      <c r="AV18" s="325"/>
      <c r="AW18" s="325"/>
      <c r="AX18" s="297"/>
      <c r="AY18" s="297"/>
      <c r="AZ18" s="297"/>
      <c r="BA18" s="297"/>
      <c r="BB18" s="297"/>
    </row>
    <row r="19" spans="1:54" ht="13.5" thickBot="1">
      <c r="A19" s="297"/>
      <c r="B19" s="1342"/>
      <c r="C19" s="329" t="s">
        <v>117</v>
      </c>
      <c r="D19" s="329"/>
      <c r="E19" s="330">
        <v>0.09229903690663281</v>
      </c>
      <c r="F19" s="330">
        <v>3.197</v>
      </c>
      <c r="G19" s="330">
        <v>0.02887051514126769</v>
      </c>
      <c r="H19" s="330"/>
      <c r="I19" s="330">
        <v>28.103122577416325</v>
      </c>
      <c r="J19" s="330">
        <v>28.870515141267692</v>
      </c>
      <c r="K19" s="331"/>
      <c r="L19" s="331"/>
      <c r="M19" s="331">
        <v>0.10822824</v>
      </c>
      <c r="N19" s="331">
        <v>0.08631816</v>
      </c>
      <c r="O19" s="331">
        <v>0.08984568288</v>
      </c>
      <c r="P19" s="331"/>
      <c r="Q19" s="331">
        <v>51.14939151497402</v>
      </c>
      <c r="R19" s="331">
        <v>31.464390379331387</v>
      </c>
      <c r="S19" s="331">
        <v>12.949207698739148</v>
      </c>
      <c r="T19" s="331">
        <v>23.85799178113937</v>
      </c>
      <c r="U19" s="331"/>
      <c r="V19" s="331">
        <v>33.85306224585549</v>
      </c>
      <c r="W19" s="331">
        <v>26.999737253675324</v>
      </c>
      <c r="X19" s="331">
        <v>28.10312257741633</v>
      </c>
      <c r="Y19" s="332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297"/>
      <c r="AN19" s="297"/>
      <c r="AO19" s="297"/>
      <c r="AP19" s="297"/>
      <c r="AQ19" s="297"/>
      <c r="AR19" s="297"/>
      <c r="AS19" s="323">
        <v>41640</v>
      </c>
      <c r="AT19" s="324">
        <v>39.79667124227866</v>
      </c>
      <c r="AU19" s="324">
        <v>21.37576098490996</v>
      </c>
      <c r="AV19" s="325">
        <f>AT19/AT18-1</f>
        <v>-0.04038669341708323</v>
      </c>
      <c r="AW19" s="325">
        <f>AU19/AU18-1</f>
        <v>0.10478022380377094</v>
      </c>
      <c r="AX19" s="297"/>
      <c r="AY19" s="297"/>
      <c r="AZ19" s="297"/>
      <c r="BA19" s="297"/>
      <c r="BB19" s="297"/>
    </row>
    <row r="20" spans="1:54" ht="12.75">
      <c r="A20" s="297"/>
      <c r="B20" s="1340">
        <v>2007</v>
      </c>
      <c r="C20" s="334" t="s">
        <v>99</v>
      </c>
      <c r="D20" s="334">
        <v>39083</v>
      </c>
      <c r="E20" s="335">
        <v>0.0799801086001232</v>
      </c>
      <c r="F20" s="335">
        <v>3.199</v>
      </c>
      <c r="G20" s="335">
        <v>0.02500159693658118</v>
      </c>
      <c r="H20" s="335"/>
      <c r="I20" s="335">
        <v>28.13349591747421</v>
      </c>
      <c r="J20" s="335">
        <v>25.00159693658118</v>
      </c>
      <c r="K20" s="331"/>
      <c r="L20" s="331"/>
      <c r="M20" s="331">
        <v>0.10822824</v>
      </c>
      <c r="N20" s="331">
        <v>0.08631816</v>
      </c>
      <c r="O20" s="331">
        <v>0.08999905344</v>
      </c>
      <c r="P20" s="331"/>
      <c r="Q20" s="331">
        <v>49.27608301884352</v>
      </c>
      <c r="R20" s="331">
        <v>30.176181266636398</v>
      </c>
      <c r="S20" s="331">
        <v>3.4465095628920426</v>
      </c>
      <c r="T20" s="331">
        <v>19.09680934303986</v>
      </c>
      <c r="U20" s="331"/>
      <c r="V20" s="331">
        <v>33.83189746795874</v>
      </c>
      <c r="W20" s="331">
        <v>26.982857142857146</v>
      </c>
      <c r="X20" s="331">
        <v>28.133495917474214</v>
      </c>
      <c r="Y20" s="332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297"/>
      <c r="AN20" s="297"/>
      <c r="AO20" s="297"/>
      <c r="AP20" s="297"/>
      <c r="AQ20" s="297"/>
      <c r="AR20" s="297"/>
      <c r="AS20" s="323">
        <v>41609</v>
      </c>
      <c r="AT20" s="324">
        <v>38.21357699940007</v>
      </c>
      <c r="AU20" s="324">
        <v>24.89753035370486</v>
      </c>
      <c r="AV20" s="325"/>
      <c r="AW20" s="325"/>
      <c r="AX20" s="297"/>
      <c r="AY20" s="297"/>
      <c r="AZ20" s="297"/>
      <c r="BA20" s="297"/>
      <c r="BB20" s="297"/>
    </row>
    <row r="21" spans="1:54" ht="12.75">
      <c r="A21" s="297"/>
      <c r="B21" s="1341"/>
      <c r="C21" s="307" t="s">
        <v>104</v>
      </c>
      <c r="D21" s="307"/>
      <c r="E21" s="311">
        <v>0.11366605858732343</v>
      </c>
      <c r="F21" s="311">
        <v>3.19</v>
      </c>
      <c r="G21" s="311">
        <v>0.035631993287562204</v>
      </c>
      <c r="H21" s="311"/>
      <c r="I21" s="311">
        <v>28.2884214169279</v>
      </c>
      <c r="J21" s="311">
        <v>35.6319932875622</v>
      </c>
      <c r="K21" s="331"/>
      <c r="L21" s="331"/>
      <c r="M21" s="331">
        <v>0.10822824</v>
      </c>
      <c r="N21" s="331">
        <v>0.08631816</v>
      </c>
      <c r="O21" s="331">
        <v>0.09024006432000001</v>
      </c>
      <c r="P21" s="331"/>
      <c r="Q21" s="331">
        <v>63.87786698076976</v>
      </c>
      <c r="R21" s="331">
        <v>43.126673737219015</v>
      </c>
      <c r="S21" s="331">
        <v>8.294990424088034</v>
      </c>
      <c r="T21" s="331">
        <v>28.639882804950144</v>
      </c>
      <c r="U21" s="331"/>
      <c r="V21" s="331">
        <v>33.92734796238245</v>
      </c>
      <c r="W21" s="331">
        <v>27.05898432601881</v>
      </c>
      <c r="X21" s="331">
        <v>28.288421416927903</v>
      </c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297"/>
      <c r="AN21" s="297"/>
      <c r="AO21" s="297"/>
      <c r="AP21" s="297"/>
      <c r="AQ21" s="297"/>
      <c r="AR21" s="297"/>
      <c r="AS21" s="323">
        <v>41974</v>
      </c>
      <c r="AT21" s="324">
        <v>39.534206067408455</v>
      </c>
      <c r="AU21" s="324">
        <v>15.1613620942839</v>
      </c>
      <c r="AV21" s="325">
        <f>AT21/AT20-1</f>
        <v>0.0345591585951015</v>
      </c>
      <c r="AW21" s="325">
        <f>AU21/AU20-1</f>
        <v>-0.391049558775703</v>
      </c>
      <c r="AX21" s="297"/>
      <c r="AY21" s="297"/>
      <c r="AZ21" s="297"/>
      <c r="BA21" s="297"/>
      <c r="BB21" s="297"/>
    </row>
    <row r="22" spans="1:54" ht="12.75">
      <c r="A22" s="297"/>
      <c r="B22" s="1341"/>
      <c r="C22" s="307" t="s">
        <v>108</v>
      </c>
      <c r="D22" s="307">
        <v>39142</v>
      </c>
      <c r="E22" s="311">
        <v>0.14675601129159488</v>
      </c>
      <c r="F22" s="311">
        <v>3.184</v>
      </c>
      <c r="G22" s="311">
        <v>0.04609171208906874</v>
      </c>
      <c r="H22" s="311"/>
      <c r="I22" s="311">
        <v>28.35549135678392</v>
      </c>
      <c r="J22" s="311">
        <v>46.091712089068736</v>
      </c>
      <c r="K22" s="331"/>
      <c r="L22" s="331"/>
      <c r="M22" s="331">
        <v>0.10822824</v>
      </c>
      <c r="N22" s="331">
        <v>0.08631816</v>
      </c>
      <c r="O22" s="331">
        <v>0.09028388447999999</v>
      </c>
      <c r="P22" s="331"/>
      <c r="Q22" s="331">
        <v>86.70670136171637</v>
      </c>
      <c r="R22" s="331">
        <v>51.19197808666432</v>
      </c>
      <c r="S22" s="331">
        <v>14.719443936654503</v>
      </c>
      <c r="T22" s="331">
        <v>35.89997017949636</v>
      </c>
      <c r="U22" s="331"/>
      <c r="V22" s="331">
        <v>33.991281407035174</v>
      </c>
      <c r="W22" s="331">
        <v>27.109974874371858</v>
      </c>
      <c r="X22" s="331">
        <v>28.355491356783915</v>
      </c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297"/>
      <c r="AN22" s="297"/>
      <c r="AO22" s="297"/>
      <c r="AP22" s="297"/>
      <c r="AQ22" s="297"/>
      <c r="AR22" s="297"/>
      <c r="AX22" s="297"/>
      <c r="AY22" s="297"/>
      <c r="AZ22" s="297"/>
      <c r="BA22" s="297"/>
      <c r="BB22" s="297"/>
    </row>
    <row r="23" spans="1:54" ht="12.75">
      <c r="A23" s="297"/>
      <c r="B23" s="1341"/>
      <c r="C23" s="307" t="s">
        <v>109</v>
      </c>
      <c r="D23" s="307"/>
      <c r="E23" s="311">
        <v>0.1096257689706156</v>
      </c>
      <c r="F23" s="311">
        <v>3.172</v>
      </c>
      <c r="G23" s="311">
        <v>0.034560456800320175</v>
      </c>
      <c r="H23" s="311"/>
      <c r="I23" s="311">
        <v>28.31770895334174</v>
      </c>
      <c r="J23" s="311">
        <v>34.560456800320175</v>
      </c>
      <c r="K23" s="331"/>
      <c r="L23" s="331"/>
      <c r="M23" s="331">
        <v>0.10822824</v>
      </c>
      <c r="N23" s="331">
        <v>0.08631816</v>
      </c>
      <c r="O23" s="331">
        <v>0.0898237728</v>
      </c>
      <c r="P23" s="331"/>
      <c r="Q23" s="331">
        <v>84.41035725123764</v>
      </c>
      <c r="R23" s="331">
        <v>31.642311095727244</v>
      </c>
      <c r="S23" s="331">
        <v>11.556323471016826</v>
      </c>
      <c r="T23" s="331">
        <v>23.416736422315157</v>
      </c>
      <c r="U23" s="331"/>
      <c r="V23" s="331">
        <v>34.11987389659521</v>
      </c>
      <c r="W23" s="331">
        <v>27.212534678436317</v>
      </c>
      <c r="X23" s="331">
        <v>28.31770895334174</v>
      </c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297"/>
      <c r="AN23" s="297"/>
      <c r="AO23" s="297"/>
      <c r="AP23" s="297"/>
      <c r="AQ23" s="297"/>
      <c r="AR23" s="297"/>
      <c r="AX23" s="297"/>
      <c r="AY23" s="297"/>
      <c r="AZ23" s="297"/>
      <c r="BA23" s="297"/>
      <c r="BB23" s="297"/>
    </row>
    <row r="24" spans="1:54" ht="12.75">
      <c r="A24" s="297"/>
      <c r="B24" s="1341"/>
      <c r="C24" s="307" t="s">
        <v>110</v>
      </c>
      <c r="D24" s="307">
        <v>39203</v>
      </c>
      <c r="E24" s="311">
        <v>0.11534907791311343</v>
      </c>
      <c r="F24" s="311">
        <v>3.175</v>
      </c>
      <c r="G24" s="311">
        <v>0.03633041824035069</v>
      </c>
      <c r="H24" s="311"/>
      <c r="I24" s="311">
        <v>29.08938582677165</v>
      </c>
      <c r="J24" s="311">
        <v>36.33041824035069</v>
      </c>
      <c r="K24" s="331"/>
      <c r="L24" s="331"/>
      <c r="M24" s="331">
        <v>0.114</v>
      </c>
      <c r="N24" s="331">
        <v>0.08779999999999999</v>
      </c>
      <c r="O24" s="331">
        <v>0.09235879999999999</v>
      </c>
      <c r="P24" s="331"/>
      <c r="Q24" s="331">
        <v>55.110809593848884</v>
      </c>
      <c r="R24" s="331">
        <v>37.21996317581856</v>
      </c>
      <c r="S24" s="331">
        <v>23.98365628136461</v>
      </c>
      <c r="T24" s="331">
        <v>31.687950098277657</v>
      </c>
      <c r="U24" s="331"/>
      <c r="V24" s="331">
        <v>35.90551181102362</v>
      </c>
      <c r="W24" s="331">
        <v>27.65354330708661</v>
      </c>
      <c r="X24" s="331">
        <v>29.089385826771654</v>
      </c>
      <c r="Y24" s="333" t="s">
        <v>118</v>
      </c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297"/>
      <c r="AN24" s="297"/>
      <c r="AO24" s="297"/>
      <c r="AP24" s="297"/>
      <c r="AQ24" s="297"/>
      <c r="AR24" s="297"/>
      <c r="AX24" s="297"/>
      <c r="AY24" s="297"/>
      <c r="AZ24" s="297"/>
      <c r="BA24" s="297"/>
      <c r="BB24" s="297"/>
    </row>
    <row r="25" spans="1:54" ht="12.75">
      <c r="A25" s="297"/>
      <c r="B25" s="1341"/>
      <c r="C25" s="307" t="s">
        <v>111</v>
      </c>
      <c r="D25" s="307"/>
      <c r="E25" s="308">
        <v>0.20849612193301884</v>
      </c>
      <c r="F25" s="308">
        <v>3.169</v>
      </c>
      <c r="G25" s="308">
        <v>0.06579240199842816</v>
      </c>
      <c r="H25" s="308"/>
      <c r="I25" s="308">
        <v>29.23931839697065</v>
      </c>
      <c r="J25" s="308">
        <v>65.79240199842816</v>
      </c>
      <c r="K25" s="336"/>
      <c r="L25" s="333"/>
      <c r="M25" s="333">
        <v>0.12</v>
      </c>
      <c r="N25" s="333">
        <v>0.08689999999999999</v>
      </c>
      <c r="O25" s="333">
        <v>0.09265939999999999</v>
      </c>
      <c r="P25" s="333"/>
      <c r="Q25" s="333">
        <v>92.46782006133193</v>
      </c>
      <c r="R25" s="333">
        <v>67.75374592677589</v>
      </c>
      <c r="S25" s="333">
        <v>47.32094747533572</v>
      </c>
      <c r="T25" s="333">
        <v>59.23990816354472</v>
      </c>
      <c r="U25" s="333"/>
      <c r="V25" s="333">
        <v>37.86683496371094</v>
      </c>
      <c r="W25" s="333">
        <v>27.421899652887344</v>
      </c>
      <c r="X25" s="333">
        <v>29.239318396970653</v>
      </c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297"/>
      <c r="AN25" s="297"/>
      <c r="AO25" s="297"/>
      <c r="AP25" s="297"/>
      <c r="AQ25" s="297"/>
      <c r="AR25" s="297"/>
      <c r="AX25" s="297"/>
      <c r="AY25" s="297"/>
      <c r="AZ25" s="297"/>
      <c r="BA25" s="297"/>
      <c r="BB25" s="297"/>
    </row>
    <row r="26" spans="1:54" ht="12.75">
      <c r="A26" s="297"/>
      <c r="B26" s="1341"/>
      <c r="C26" s="307" t="s">
        <v>112</v>
      </c>
      <c r="D26" s="307">
        <v>39264</v>
      </c>
      <c r="E26" s="311">
        <v>0.08803643628466139</v>
      </c>
      <c r="F26" s="311">
        <v>3.161</v>
      </c>
      <c r="G26" s="308">
        <v>0.027850818185593606</v>
      </c>
      <c r="H26" s="308"/>
      <c r="I26" s="308">
        <v>29.177190762416952</v>
      </c>
      <c r="J26" s="308">
        <v>27.850818185593607</v>
      </c>
      <c r="K26" s="336"/>
      <c r="L26" s="336"/>
      <c r="M26" s="336">
        <v>0.12</v>
      </c>
      <c r="N26" s="336">
        <v>0.08689999999999999</v>
      </c>
      <c r="O26" s="336">
        <v>0.0922291</v>
      </c>
      <c r="P26" s="336"/>
      <c r="Q26" s="336">
        <v>34.11461217921594</v>
      </c>
      <c r="R26" s="336">
        <v>28.290546566559783</v>
      </c>
      <c r="S26" s="336">
        <v>23.61990600140262</v>
      </c>
      <c r="T26" s="336">
        <v>26.365718869492248</v>
      </c>
      <c r="U26" s="336"/>
      <c r="V26" s="336">
        <v>37.96267004112622</v>
      </c>
      <c r="W26" s="336">
        <v>27.491300221448903</v>
      </c>
      <c r="X26" s="336">
        <v>29.177190762416956</v>
      </c>
      <c r="Y26" s="33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X26" s="297"/>
      <c r="AY26" s="297"/>
      <c r="AZ26" s="297"/>
      <c r="BA26" s="297"/>
      <c r="BB26" s="297"/>
    </row>
    <row r="27" spans="1:54" ht="12.75">
      <c r="A27" s="297"/>
      <c r="B27" s="1341"/>
      <c r="C27" s="307" t="s">
        <v>113</v>
      </c>
      <c r="D27" s="307"/>
      <c r="E27" s="308">
        <v>0.14278434944045829</v>
      </c>
      <c r="F27" s="308">
        <v>3.163</v>
      </c>
      <c r="G27" s="308">
        <v>0.04514206431882969</v>
      </c>
      <c r="H27" s="308"/>
      <c r="I27" s="308">
        <v>30.829121087575086</v>
      </c>
      <c r="J27" s="308">
        <v>45.14206431882969</v>
      </c>
      <c r="K27" s="336"/>
      <c r="L27" s="336"/>
      <c r="M27" s="336">
        <v>0.12624000000000002</v>
      </c>
      <c r="N27" s="336">
        <v>0.09141880000000001</v>
      </c>
      <c r="O27" s="336">
        <v>0.09751251</v>
      </c>
      <c r="P27" s="336"/>
      <c r="Q27" s="336">
        <v>52.68105948806901</v>
      </c>
      <c r="R27" s="336">
        <v>48.960009237319966</v>
      </c>
      <c r="S27" s="336">
        <v>35.275551273632374</v>
      </c>
      <c r="T27" s="336">
        <v>43.30225745923322</v>
      </c>
      <c r="U27" s="336"/>
      <c r="V27" s="336">
        <v>39.91147644641165</v>
      </c>
      <c r="W27" s="336">
        <v>28.902560859943097</v>
      </c>
      <c r="X27" s="336">
        <v>30.829121087575086</v>
      </c>
      <c r="Y27" s="33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X27" s="297"/>
      <c r="AY27" s="297"/>
      <c r="AZ27" s="297"/>
      <c r="BA27" s="297"/>
      <c r="BB27" s="297"/>
    </row>
    <row r="28" spans="1:54" ht="12.75">
      <c r="A28" s="297"/>
      <c r="B28" s="1341"/>
      <c r="C28" s="307" t="s">
        <v>119</v>
      </c>
      <c r="D28" s="307">
        <v>39326</v>
      </c>
      <c r="E28" s="311">
        <v>0.10650386404041466</v>
      </c>
      <c r="F28" s="311">
        <v>3.087</v>
      </c>
      <c r="G28" s="311">
        <v>0.034500765805122985</v>
      </c>
      <c r="H28" s="311"/>
      <c r="I28" s="311">
        <v>31.655794363459666</v>
      </c>
      <c r="J28" s="311">
        <v>34.50076580512299</v>
      </c>
      <c r="K28" s="331"/>
      <c r="L28" s="331"/>
      <c r="M28" s="331">
        <v>0.12624000000000002</v>
      </c>
      <c r="N28" s="331">
        <v>0.09141880000000001</v>
      </c>
      <c r="O28" s="331">
        <v>0.0977214372</v>
      </c>
      <c r="P28" s="331"/>
      <c r="Q28" s="331">
        <v>39.41807910885582</v>
      </c>
      <c r="R28" s="331">
        <v>38.55729498552019</v>
      </c>
      <c r="S28" s="331">
        <v>25.867286280760318</v>
      </c>
      <c r="T28" s="331">
        <v>33.28550059107308</v>
      </c>
      <c r="U28" s="337"/>
      <c r="V28" s="337">
        <v>40.89407191448008</v>
      </c>
      <c r="W28" s="337">
        <v>29.61412374473599</v>
      </c>
      <c r="X28" s="337">
        <v>31.655794363459666</v>
      </c>
      <c r="Y28" s="337">
        <v>120</v>
      </c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X28" s="297"/>
      <c r="AY28" s="297"/>
      <c r="AZ28" s="297"/>
      <c r="BA28" s="297"/>
      <c r="BB28" s="297"/>
    </row>
    <row r="29" spans="1:54" ht="12.75">
      <c r="A29" s="297"/>
      <c r="B29" s="1341"/>
      <c r="C29" s="307" t="s">
        <v>115</v>
      </c>
      <c r="D29" s="307"/>
      <c r="E29" s="308">
        <v>0.10654947040758003</v>
      </c>
      <c r="F29" s="308">
        <v>2.998</v>
      </c>
      <c r="G29" s="308">
        <v>0.03554018359158773</v>
      </c>
      <c r="H29" s="308"/>
      <c r="I29" s="308">
        <v>32.52585390260173</v>
      </c>
      <c r="J29" s="308">
        <v>35.540183591587734</v>
      </c>
      <c r="K29" s="336"/>
      <c r="L29" s="336"/>
      <c r="M29" s="336">
        <v>0.12624000000000002</v>
      </c>
      <c r="N29" s="336">
        <v>0.09141880000000001</v>
      </c>
      <c r="O29" s="336">
        <v>0.09751251</v>
      </c>
      <c r="P29" s="336"/>
      <c r="Q29" s="336">
        <v>47.41522958621566</v>
      </c>
      <c r="R29" s="336">
        <v>36.40886278243837</v>
      </c>
      <c r="S29" s="336">
        <v>27.25682210099066</v>
      </c>
      <c r="T29" s="336">
        <v>32.59928414043589</v>
      </c>
      <c r="U29" s="336"/>
      <c r="V29" s="336">
        <v>42.10807204803203</v>
      </c>
      <c r="W29" s="336">
        <v>30.493262174783187</v>
      </c>
      <c r="X29" s="336">
        <v>32.52585390260173</v>
      </c>
      <c r="Y29" s="337">
        <v>120</v>
      </c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X29" s="297"/>
      <c r="AY29" s="297"/>
      <c r="AZ29" s="297"/>
      <c r="BA29" s="297"/>
      <c r="BB29" s="297"/>
    </row>
    <row r="30" spans="1:54" ht="12.75">
      <c r="A30" s="297"/>
      <c r="B30" s="1341"/>
      <c r="C30" s="307" t="s">
        <v>116</v>
      </c>
      <c r="D30" s="307">
        <v>39387</v>
      </c>
      <c r="E30" s="311">
        <v>0.08856907232381263</v>
      </c>
      <c r="F30" s="311">
        <v>3</v>
      </c>
      <c r="G30" s="311">
        <v>0.029523024107937543</v>
      </c>
      <c r="H30" s="311"/>
      <c r="I30" s="311">
        <v>30.67458550533333</v>
      </c>
      <c r="J30" s="311">
        <v>29.52302410793754</v>
      </c>
      <c r="K30" s="331"/>
      <c r="L30" s="331"/>
      <c r="M30" s="331">
        <v>0.1191768</v>
      </c>
      <c r="N30" s="331">
        <v>0.08630386599999999</v>
      </c>
      <c r="O30" s="331">
        <v>0.09202375651599999</v>
      </c>
      <c r="P30" s="331"/>
      <c r="Q30" s="331">
        <v>40.12521139654132</v>
      </c>
      <c r="R30" s="331">
        <v>31.104740488913265</v>
      </c>
      <c r="S30" s="331">
        <v>20.99441419770166</v>
      </c>
      <c r="T30" s="331">
        <v>26.913107466759634</v>
      </c>
      <c r="U30" s="333"/>
      <c r="V30" s="333">
        <v>39.7256</v>
      </c>
      <c r="W30" s="333">
        <v>28.76795533333333</v>
      </c>
      <c r="X30" s="333">
        <v>30.674585505333333</v>
      </c>
      <c r="Y30" s="337">
        <v>120</v>
      </c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X30" s="297"/>
      <c r="AY30" s="297"/>
      <c r="AZ30" s="297"/>
      <c r="BA30" s="297"/>
      <c r="BB30" s="297"/>
    </row>
    <row r="31" spans="1:54" ht="13.5" thickBot="1">
      <c r="A31" s="297"/>
      <c r="B31" s="1342"/>
      <c r="C31" s="329" t="s">
        <v>117</v>
      </c>
      <c r="D31" s="329"/>
      <c r="E31" s="338">
        <v>0.13228707924114408</v>
      </c>
      <c r="F31" s="338">
        <v>2.997</v>
      </c>
      <c r="G31" s="338">
        <v>0.04413983291329466</v>
      </c>
      <c r="H31" s="338"/>
      <c r="I31" s="339">
        <v>30.36143812479146</v>
      </c>
      <c r="J31" s="339">
        <v>44.13983291329466</v>
      </c>
      <c r="K31" s="336"/>
      <c r="L31" s="340"/>
      <c r="M31" s="340">
        <v>0.118392</v>
      </c>
      <c r="N31" s="340">
        <v>0.08573554</v>
      </c>
      <c r="O31" s="340">
        <v>0.09099323006</v>
      </c>
      <c r="P31" s="340"/>
      <c r="Q31" s="340">
        <v>57.71288198781246</v>
      </c>
      <c r="R31" s="340">
        <v>43.09097991532234</v>
      </c>
      <c r="S31" s="340">
        <v>38.20707490996589</v>
      </c>
      <c r="T31" s="340">
        <v>41.07469621036092</v>
      </c>
      <c r="U31" s="340"/>
      <c r="V31" s="340">
        <v>39.5035035035035</v>
      </c>
      <c r="W31" s="340">
        <v>28.60712045378712</v>
      </c>
      <c r="X31" s="340">
        <v>30.36143812479146</v>
      </c>
      <c r="Y31" s="337">
        <v>120</v>
      </c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X31" s="297"/>
      <c r="AY31" s="297"/>
      <c r="AZ31" s="297"/>
      <c r="BA31" s="297"/>
      <c r="BB31" s="297"/>
    </row>
    <row r="32" spans="1:54" ht="12.75">
      <c r="A32" s="297"/>
      <c r="B32" s="1340">
        <v>2008</v>
      </c>
      <c r="C32" s="334" t="s">
        <v>99</v>
      </c>
      <c r="D32" s="334">
        <v>39448</v>
      </c>
      <c r="E32" s="341">
        <v>0.05107423178605327</v>
      </c>
      <c r="F32" s="342">
        <v>2.934</v>
      </c>
      <c r="G32" s="341">
        <v>0.01740771362851168</v>
      </c>
      <c r="H32" s="343"/>
      <c r="I32" s="341">
        <v>29.17281880862853</v>
      </c>
      <c r="J32" s="341">
        <v>17.40771362851168</v>
      </c>
      <c r="K32" s="314"/>
      <c r="L32" s="297"/>
      <c r="M32" s="314">
        <v>0.11108670967741935</v>
      </c>
      <c r="N32" s="314">
        <v>0.08044529225806452</v>
      </c>
      <c r="O32" s="315">
        <v>0.08559305038451612</v>
      </c>
      <c r="P32" s="297"/>
      <c r="Q32" s="316">
        <v>28.62835240369948</v>
      </c>
      <c r="R32" s="316">
        <v>20.488678636264382</v>
      </c>
      <c r="S32" s="316">
        <v>6.832413600968437</v>
      </c>
      <c r="T32" s="316">
        <v>14.919641120484528</v>
      </c>
      <c r="U32" s="297"/>
      <c r="V32" s="317">
        <v>37.861864239065895</v>
      </c>
      <c r="W32" s="317">
        <v>27.41830001979022</v>
      </c>
      <c r="X32" s="317">
        <v>29.17281880862853</v>
      </c>
      <c r="Y32" s="337">
        <v>120</v>
      </c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X32" s="297"/>
      <c r="AY32" s="297"/>
      <c r="AZ32" s="297"/>
      <c r="BA32" s="297"/>
      <c r="BB32" s="297"/>
    </row>
    <row r="33" spans="1:54" ht="12.75">
      <c r="A33" s="297"/>
      <c r="B33" s="1341"/>
      <c r="C33" s="307" t="s">
        <v>104</v>
      </c>
      <c r="D33" s="307"/>
      <c r="E33" s="308">
        <v>0.05299826296641291</v>
      </c>
      <c r="F33" s="309">
        <v>2.887</v>
      </c>
      <c r="G33" s="308">
        <v>0.018357555582408352</v>
      </c>
      <c r="H33" s="310"/>
      <c r="I33" s="308">
        <v>29.438852566678214</v>
      </c>
      <c r="J33" s="308">
        <v>18.357555582408352</v>
      </c>
      <c r="K33" s="314"/>
      <c r="L33" s="297"/>
      <c r="M33" s="314">
        <v>0.110304</v>
      </c>
      <c r="N33" s="314">
        <v>0.07987848</v>
      </c>
      <c r="O33" s="315">
        <v>0.08498996736</v>
      </c>
      <c r="P33" s="297"/>
      <c r="Q33" s="316">
        <v>29.899024746953934</v>
      </c>
      <c r="R33" s="316">
        <v>21.7707141727098</v>
      </c>
      <c r="S33" s="316">
        <v>6.6206929442341815</v>
      </c>
      <c r="T33" s="316">
        <v>15.464672066646298</v>
      </c>
      <c r="U33" s="297"/>
      <c r="V33" s="317">
        <v>38.20713543470731</v>
      </c>
      <c r="W33" s="317">
        <v>27.668333910633876</v>
      </c>
      <c r="X33" s="317">
        <v>29.438852566678214</v>
      </c>
      <c r="Y33" s="33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X33" s="297"/>
      <c r="AY33" s="297"/>
      <c r="AZ33" s="297"/>
      <c r="BA33" s="297"/>
      <c r="BB33" s="297"/>
    </row>
    <row r="34" spans="1:54" ht="12.75">
      <c r="A34" s="297"/>
      <c r="B34" s="1341"/>
      <c r="C34" s="307" t="s">
        <v>108</v>
      </c>
      <c r="D34" s="307">
        <v>39508</v>
      </c>
      <c r="E34" s="308">
        <v>0.05737703074803409</v>
      </c>
      <c r="F34" s="309">
        <v>2.746</v>
      </c>
      <c r="G34" s="308">
        <v>0.020894767206130403</v>
      </c>
      <c r="H34" s="310"/>
      <c r="I34" s="308">
        <v>31.09450077203205</v>
      </c>
      <c r="J34" s="308">
        <v>20.894767206130403</v>
      </c>
      <c r="K34" s="314"/>
      <c r="L34" s="297"/>
      <c r="M34" s="314">
        <v>0.110304</v>
      </c>
      <c r="N34" s="314">
        <v>0.07987848</v>
      </c>
      <c r="O34" s="315">
        <v>0.08538549912</v>
      </c>
      <c r="P34" s="297"/>
      <c r="Q34" s="316">
        <v>43.406977631153154</v>
      </c>
      <c r="R34" s="316">
        <v>21.87078244936916</v>
      </c>
      <c r="S34" s="316">
        <v>7.135308362903219</v>
      </c>
      <c r="T34" s="316">
        <v>15.842323324351113</v>
      </c>
      <c r="U34" s="297"/>
      <c r="V34" s="317">
        <v>40.16897305171158</v>
      </c>
      <c r="W34" s="317">
        <v>29.089031318281137</v>
      </c>
      <c r="X34" s="317">
        <v>31.094500772032045</v>
      </c>
      <c r="Y34" s="33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X34" s="297"/>
      <c r="AY34" s="297"/>
      <c r="AZ34" s="297"/>
      <c r="BA34" s="297"/>
      <c r="BB34" s="297"/>
    </row>
    <row r="35" spans="1:54" ht="12.75">
      <c r="A35" s="297"/>
      <c r="B35" s="1341"/>
      <c r="C35" s="307" t="s">
        <v>109</v>
      </c>
      <c r="D35" s="307"/>
      <c r="E35" s="308">
        <v>0.05959366066939271</v>
      </c>
      <c r="F35" s="309">
        <v>2.851</v>
      </c>
      <c r="G35" s="308">
        <v>0.020902722086774014</v>
      </c>
      <c r="H35" s="310"/>
      <c r="I35" s="308">
        <v>29.116926145212208</v>
      </c>
      <c r="J35" s="308">
        <v>20.902722086774013</v>
      </c>
      <c r="K35" s="314"/>
      <c r="L35" s="336"/>
      <c r="M35" s="314">
        <v>0.1080468</v>
      </c>
      <c r="N35" s="314">
        <v>0.07824389100000001</v>
      </c>
      <c r="O35" s="336">
        <v>0.08301235644</v>
      </c>
      <c r="P35" s="336"/>
      <c r="Q35" s="336">
        <v>32.20259927079546</v>
      </c>
      <c r="R35" s="336">
        <v>24.726108384240973</v>
      </c>
      <c r="S35" s="336">
        <v>8.693842555230196</v>
      </c>
      <c r="T35" s="336">
        <v>18.008775493540135</v>
      </c>
      <c r="U35" s="336"/>
      <c r="V35" s="336">
        <v>37.8978603998597</v>
      </c>
      <c r="W35" s="336">
        <v>27.44436723956507</v>
      </c>
      <c r="X35" s="336">
        <v>29.116926145212208</v>
      </c>
      <c r="Y35" s="336"/>
      <c r="Z35" s="336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X35" s="297"/>
      <c r="AY35" s="297"/>
      <c r="AZ35" s="297"/>
      <c r="BA35" s="297"/>
      <c r="BB35" s="297"/>
    </row>
    <row r="36" spans="1:54" ht="12.75">
      <c r="A36" s="297"/>
      <c r="B36" s="1341"/>
      <c r="C36" s="307" t="s">
        <v>110</v>
      </c>
      <c r="D36" s="307">
        <v>39569</v>
      </c>
      <c r="E36" s="308">
        <v>0.1361700358496622</v>
      </c>
      <c r="F36" s="308">
        <v>2.845</v>
      </c>
      <c r="G36" s="308">
        <v>0.04786292999988126</v>
      </c>
      <c r="H36" s="308"/>
      <c r="I36" s="308">
        <v>31.930685843868687</v>
      </c>
      <c r="J36" s="308">
        <v>47.86292999988126</v>
      </c>
      <c r="K36" s="336"/>
      <c r="L36" s="336"/>
      <c r="M36" s="336">
        <v>0.11839162064516129</v>
      </c>
      <c r="N36" s="336">
        <v>0.0849991122580645</v>
      </c>
      <c r="O36" s="336">
        <v>0.09084280122580643</v>
      </c>
      <c r="P36" s="336"/>
      <c r="Q36" s="336">
        <v>56.115550730506335</v>
      </c>
      <c r="R36" s="336">
        <v>47.27847121160428</v>
      </c>
      <c r="S36" s="336">
        <v>43.76841420373809</v>
      </c>
      <c r="T36" s="336">
        <v>45.813329945002664</v>
      </c>
      <c r="U36" s="336"/>
      <c r="V36" s="336">
        <v>41.61392641306196</v>
      </c>
      <c r="W36" s="336">
        <v>29.87666511707012</v>
      </c>
      <c r="X36" s="336">
        <v>31.93068584386869</v>
      </c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X36" s="297"/>
      <c r="AY36" s="297"/>
      <c r="AZ36" s="297"/>
      <c r="BA36" s="297"/>
      <c r="BB36" s="297"/>
    </row>
    <row r="37" spans="1:54" ht="12.75">
      <c r="A37" s="297"/>
      <c r="B37" s="1341"/>
      <c r="C37" s="307" t="s">
        <v>111</v>
      </c>
      <c r="D37" s="307"/>
      <c r="E37" s="311">
        <v>0.4580133602034182</v>
      </c>
      <c r="F37" s="311">
        <v>2.967</v>
      </c>
      <c r="G37" s="311">
        <v>0.15436918105946013</v>
      </c>
      <c r="H37" s="311"/>
      <c r="I37" s="311">
        <v>32.01472185642062</v>
      </c>
      <c r="J37" s="311">
        <v>154.36918105946012</v>
      </c>
      <c r="K37" s="331"/>
      <c r="L37" s="331"/>
      <c r="M37" s="331">
        <v>0.12248612999999998</v>
      </c>
      <c r="N37" s="331">
        <v>0.089195028</v>
      </c>
      <c r="O37" s="331">
        <v>0.09498767974799999</v>
      </c>
      <c r="P37" s="331"/>
      <c r="Q37" s="331">
        <v>176.42934408531977</v>
      </c>
      <c r="R37" s="331">
        <v>159.14273826981474</v>
      </c>
      <c r="S37" s="331">
        <v>134.59165614310615</v>
      </c>
      <c r="T37" s="331">
        <v>148.94599360955212</v>
      </c>
      <c r="U37" s="331"/>
      <c r="V37" s="331">
        <v>41.28282103134479</v>
      </c>
      <c r="W37" s="331">
        <v>30.062361981799796</v>
      </c>
      <c r="X37" s="331">
        <v>32.01472185642062</v>
      </c>
      <c r="Y37" s="337">
        <v>345</v>
      </c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</row>
    <row r="38" spans="1:54" ht="12.75">
      <c r="A38" s="297"/>
      <c r="B38" s="1341"/>
      <c r="C38" s="307" t="s">
        <v>112</v>
      </c>
      <c r="D38" s="307">
        <v>39630</v>
      </c>
      <c r="E38" s="311">
        <v>0.6644427053066985</v>
      </c>
      <c r="F38" s="311">
        <v>2.816</v>
      </c>
      <c r="G38" s="311">
        <v>0.23595266523675373</v>
      </c>
      <c r="H38" s="311"/>
      <c r="I38" s="311">
        <v>35.746655723286295</v>
      </c>
      <c r="J38" s="311">
        <v>235.95266523675375</v>
      </c>
      <c r="K38" s="344"/>
      <c r="L38" s="344"/>
      <c r="M38" s="344">
        <v>0.13039800967741932</v>
      </c>
      <c r="N38" s="344">
        <v>0.09495649935483871</v>
      </c>
      <c r="O38" s="344">
        <v>0.1006625825167742</v>
      </c>
      <c r="P38" s="344"/>
      <c r="Q38" s="344">
        <v>254.71948740343865</v>
      </c>
      <c r="R38" s="344">
        <v>242.77697874845575</v>
      </c>
      <c r="S38" s="344">
        <v>215.3671271165645</v>
      </c>
      <c r="T38" s="344">
        <v>231.4746045600289</v>
      </c>
      <c r="U38" s="344"/>
      <c r="V38" s="344">
        <v>46.30611139112902</v>
      </c>
      <c r="W38" s="344">
        <v>33.72034778225807</v>
      </c>
      <c r="X38" s="344">
        <v>35.746655723286295</v>
      </c>
      <c r="Y38" s="337">
        <v>345</v>
      </c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</row>
    <row r="39" spans="1:54" ht="12.75">
      <c r="A39" s="297"/>
      <c r="B39" s="1341"/>
      <c r="C39" s="307" t="s">
        <v>113</v>
      </c>
      <c r="D39" s="307"/>
      <c r="E39" s="311">
        <v>0.5778601044682826</v>
      </c>
      <c r="F39" s="311">
        <v>2.953</v>
      </c>
      <c r="G39" s="311">
        <v>0.19568577868888679</v>
      </c>
      <c r="H39" s="311"/>
      <c r="I39" s="311">
        <v>33.60951316867483</v>
      </c>
      <c r="J39" s="311">
        <v>195.68577868888678</v>
      </c>
      <c r="K39" s="331"/>
      <c r="L39" s="331"/>
      <c r="M39" s="331">
        <v>0.12793610322580645</v>
      </c>
      <c r="N39" s="331">
        <v>0.0931637264516129</v>
      </c>
      <c r="O39" s="331">
        <v>0.09924889238709678</v>
      </c>
      <c r="P39" s="331"/>
      <c r="Q39" s="331">
        <v>219.37203257015645</v>
      </c>
      <c r="R39" s="331">
        <v>195.87030518411188</v>
      </c>
      <c r="S39" s="331">
        <v>181.8999180232581</v>
      </c>
      <c r="T39" s="331">
        <v>190.12208584275274</v>
      </c>
      <c r="U39" s="331"/>
      <c r="V39" s="331">
        <v>43.324112165867405</v>
      </c>
      <c r="W39" s="331">
        <v>31.54884065411883</v>
      </c>
      <c r="X39" s="331">
        <v>33.60951316867483</v>
      </c>
      <c r="Y39" s="337">
        <v>345</v>
      </c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</row>
    <row r="40" spans="1:54" ht="12.75">
      <c r="A40" s="297"/>
      <c r="B40" s="1341"/>
      <c r="C40" s="307" t="s">
        <v>114</v>
      </c>
      <c r="D40" s="307">
        <v>39692</v>
      </c>
      <c r="E40" s="311">
        <v>0.5513644490306141</v>
      </c>
      <c r="F40" s="311">
        <v>2.977</v>
      </c>
      <c r="G40" s="311">
        <v>0.185208078276995</v>
      </c>
      <c r="H40" s="311"/>
      <c r="I40" s="311">
        <v>36.17518619213973</v>
      </c>
      <c r="J40" s="311">
        <v>185.208078276995</v>
      </c>
      <c r="K40" s="331"/>
      <c r="L40" s="331"/>
      <c r="M40" s="331">
        <v>0.14207348999999997</v>
      </c>
      <c r="N40" s="331">
        <v>0.100095516</v>
      </c>
      <c r="O40" s="331">
        <v>0.10769352929399999</v>
      </c>
      <c r="P40" s="331"/>
      <c r="Q40" s="331">
        <v>193.56685691364774</v>
      </c>
      <c r="R40" s="331">
        <v>194.57415305578004</v>
      </c>
      <c r="S40" s="331">
        <v>167.0565877095285</v>
      </c>
      <c r="T40" s="331">
        <v>183.06960867729524</v>
      </c>
      <c r="U40" s="331"/>
      <c r="V40" s="331">
        <v>47.723711790393004</v>
      </c>
      <c r="W40" s="331">
        <v>33.62294793416191</v>
      </c>
      <c r="X40" s="331">
        <v>36.17518619213973</v>
      </c>
      <c r="Y40" s="337">
        <v>345</v>
      </c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</row>
    <row r="41" spans="1:54" ht="12.75">
      <c r="A41" s="297"/>
      <c r="B41" s="1341"/>
      <c r="C41" s="307" t="s">
        <v>115</v>
      </c>
      <c r="D41" s="307"/>
      <c r="E41" s="308">
        <v>0.1957606659357658</v>
      </c>
      <c r="F41" s="308">
        <v>3.09</v>
      </c>
      <c r="G41" s="308">
        <v>0.0633529663222543</v>
      </c>
      <c r="H41" s="308"/>
      <c r="I41" s="308">
        <v>34.78443786407766</v>
      </c>
      <c r="J41" s="308">
        <v>63.352966322254304</v>
      </c>
      <c r="K41" s="336"/>
      <c r="L41" s="336"/>
      <c r="M41" s="336">
        <v>0.1385514</v>
      </c>
      <c r="N41" s="336">
        <v>0.10089383999999998</v>
      </c>
      <c r="O41" s="336">
        <v>0.10748391299999997</v>
      </c>
      <c r="P41" s="336"/>
      <c r="Q41" s="336">
        <v>78.72141480217225</v>
      </c>
      <c r="R41" s="336">
        <v>67.97954566802271</v>
      </c>
      <c r="S41" s="336">
        <v>47.76993537310148</v>
      </c>
      <c r="T41" s="336">
        <v>59.57698621025235</v>
      </c>
      <c r="U41" s="336"/>
      <c r="V41" s="336">
        <v>44.83864077669903</v>
      </c>
      <c r="W41" s="336">
        <v>32.6517281553398</v>
      </c>
      <c r="X41" s="336">
        <v>34.78443786407767</v>
      </c>
      <c r="Y41" s="337">
        <v>345</v>
      </c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</row>
    <row r="42" spans="1:54" ht="12.75">
      <c r="A42" s="297"/>
      <c r="B42" s="1341"/>
      <c r="C42" s="307" t="s">
        <v>116</v>
      </c>
      <c r="D42" s="307">
        <v>39753</v>
      </c>
      <c r="E42" s="311">
        <v>0.18790140191692947</v>
      </c>
      <c r="F42" s="311">
        <v>3.096</v>
      </c>
      <c r="G42" s="311">
        <v>0.060691667285829934</v>
      </c>
      <c r="H42" s="311"/>
      <c r="I42" s="311">
        <v>34.70486286821705</v>
      </c>
      <c r="J42" s="311">
        <v>60.691667285829936</v>
      </c>
      <c r="K42" s="331"/>
      <c r="L42" s="331"/>
      <c r="M42" s="331">
        <v>0.1385514</v>
      </c>
      <c r="N42" s="331">
        <v>0.10089383999999998</v>
      </c>
      <c r="O42" s="331">
        <v>0.10744625543999999</v>
      </c>
      <c r="P42" s="331"/>
      <c r="Q42" s="331">
        <v>276.0750863044336</v>
      </c>
      <c r="R42" s="331">
        <v>173.8343609752648</v>
      </c>
      <c r="S42" s="331">
        <v>157.6399299904539</v>
      </c>
      <c r="T42" s="331">
        <v>167.1533732480311</v>
      </c>
      <c r="U42" s="331"/>
      <c r="V42" s="331">
        <v>44.75174418604651</v>
      </c>
      <c r="W42" s="331">
        <v>32.58844961240309</v>
      </c>
      <c r="X42" s="331">
        <v>34.70486286821705</v>
      </c>
      <c r="Y42" s="33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</row>
    <row r="43" spans="1:54" ht="13.5" thickBot="1">
      <c r="A43" s="297"/>
      <c r="B43" s="1342"/>
      <c r="C43" s="329" t="s">
        <v>117</v>
      </c>
      <c r="D43" s="329"/>
      <c r="E43" s="330">
        <v>0.2569582119612439</v>
      </c>
      <c r="F43" s="330">
        <v>3.142</v>
      </c>
      <c r="G43" s="330">
        <v>0.08178173518817439</v>
      </c>
      <c r="H43" s="330"/>
      <c r="I43" s="330">
        <v>31.275602291534053</v>
      </c>
      <c r="J43" s="330">
        <v>81.78173518817438</v>
      </c>
      <c r="K43" s="331"/>
      <c r="L43" s="331"/>
      <c r="M43" s="331">
        <v>0.127296</v>
      </c>
      <c r="N43" s="331">
        <v>0.09269759999999999</v>
      </c>
      <c r="O43" s="331">
        <v>0.09826794239999999</v>
      </c>
      <c r="P43" s="331"/>
      <c r="Q43" s="331">
        <v>106.84436132618194</v>
      </c>
      <c r="R43" s="331">
        <v>77.6534615222993</v>
      </c>
      <c r="S43" s="331">
        <v>73.1183301757118</v>
      </c>
      <c r="T43" s="331">
        <v>75.78605189226482</v>
      </c>
      <c r="U43" s="331"/>
      <c r="V43" s="331">
        <v>40.51432208784213</v>
      </c>
      <c r="W43" s="331">
        <v>29.50273711012094</v>
      </c>
      <c r="X43" s="331">
        <v>31.275602291534053</v>
      </c>
      <c r="Y43" s="337">
        <v>279</v>
      </c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</row>
    <row r="44" spans="1:54" ht="12.75">
      <c r="A44" s="297"/>
      <c r="B44" s="1340">
        <v>2009</v>
      </c>
      <c r="C44" s="334" t="s">
        <v>99</v>
      </c>
      <c r="D44" s="334">
        <v>39814</v>
      </c>
      <c r="E44" s="335">
        <v>0.09321831149435178</v>
      </c>
      <c r="F44" s="335">
        <v>3.174</v>
      </c>
      <c r="G44" s="335">
        <v>0.029369348296897222</v>
      </c>
      <c r="H44" s="335"/>
      <c r="I44" s="335">
        <v>31.036588279773156</v>
      </c>
      <c r="J44" s="335">
        <v>29.369348296897222</v>
      </c>
      <c r="K44" s="331"/>
      <c r="L44" s="331"/>
      <c r="M44" s="331">
        <v>0.127296</v>
      </c>
      <c r="N44" s="331">
        <v>0.09269759999999999</v>
      </c>
      <c r="O44" s="331">
        <v>0.09851013119999999</v>
      </c>
      <c r="P44" s="331"/>
      <c r="Q44" s="331">
        <v>65.34930129327087</v>
      </c>
      <c r="R44" s="331">
        <v>32.05699127764555</v>
      </c>
      <c r="S44" s="331">
        <v>4.219396777468761</v>
      </c>
      <c r="T44" s="331">
        <v>20.563040643270416</v>
      </c>
      <c r="U44" s="331"/>
      <c r="V44" s="331">
        <v>40.10586011342155</v>
      </c>
      <c r="W44" s="331">
        <v>29.205293005671074</v>
      </c>
      <c r="X44" s="331">
        <v>31.036588279773152</v>
      </c>
      <c r="Y44" s="33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</row>
    <row r="45" spans="1:54" ht="12.75">
      <c r="A45" s="297"/>
      <c r="B45" s="1341"/>
      <c r="C45" s="307" t="s">
        <v>104</v>
      </c>
      <c r="D45" s="307"/>
      <c r="E45" s="311">
        <v>0.14231726236619124</v>
      </c>
      <c r="F45" s="311">
        <v>3.251</v>
      </c>
      <c r="G45" s="311">
        <v>0.043776457202765684</v>
      </c>
      <c r="H45" s="311"/>
      <c r="I45" s="311">
        <v>30.418552322362345</v>
      </c>
      <c r="J45" s="311">
        <v>43.776457202765684</v>
      </c>
      <c r="K45" s="331"/>
      <c r="L45" s="331"/>
      <c r="M45" s="331">
        <v>0.127296</v>
      </c>
      <c r="N45" s="331">
        <v>0.09269759999999999</v>
      </c>
      <c r="O45" s="331">
        <v>0.09889071359999999</v>
      </c>
      <c r="P45" s="331"/>
      <c r="Q45" s="331">
        <v>73.57023426414848</v>
      </c>
      <c r="R45" s="331">
        <v>58.859415427246034</v>
      </c>
      <c r="S45" s="331">
        <v>4.357176150761024</v>
      </c>
      <c r="T45" s="331">
        <v>36.38666181411856</v>
      </c>
      <c r="U45" s="331"/>
      <c r="V45" s="331">
        <v>39.15595201476469</v>
      </c>
      <c r="W45" s="331">
        <v>28.513565056905566</v>
      </c>
      <c r="X45" s="337">
        <v>30.418552322362345</v>
      </c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</row>
    <row r="46" spans="1:54" ht="12.75">
      <c r="A46" s="297"/>
      <c r="B46" s="1341"/>
      <c r="C46" s="307" t="s">
        <v>108</v>
      </c>
      <c r="D46" s="307">
        <v>39873</v>
      </c>
      <c r="E46" s="311">
        <v>0.07858838724077646</v>
      </c>
      <c r="F46" s="311">
        <v>3.161</v>
      </c>
      <c r="G46" s="311">
        <v>0.024861875115715425</v>
      </c>
      <c r="H46" s="311"/>
      <c r="I46" s="311">
        <v>33.13100124378769</v>
      </c>
      <c r="J46" s="311">
        <v>24.861875115715424</v>
      </c>
      <c r="K46" s="331"/>
      <c r="L46" s="331"/>
      <c r="M46" s="331">
        <v>0.13471455483870964</v>
      </c>
      <c r="N46" s="331">
        <v>0.09809982967741934</v>
      </c>
      <c r="O46" s="331">
        <v>0.10472709493161289</v>
      </c>
      <c r="P46" s="331"/>
      <c r="Q46" s="331">
        <v>51.07582127449828</v>
      </c>
      <c r="R46" s="331">
        <v>29.729496319089264</v>
      </c>
      <c r="S46" s="331">
        <v>2.3241601381574513</v>
      </c>
      <c r="T46" s="331">
        <v>18.455261305779718</v>
      </c>
      <c r="U46" s="331"/>
      <c r="V46" s="331">
        <v>42.61770162565949</v>
      </c>
      <c r="W46" s="331">
        <v>31.03442887612127</v>
      </c>
      <c r="X46" s="337">
        <v>33.13100124378769</v>
      </c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</row>
    <row r="47" spans="1:54" ht="12.75">
      <c r="A47" s="297"/>
      <c r="B47" s="1341"/>
      <c r="C47" s="307" t="s">
        <v>109</v>
      </c>
      <c r="D47" s="307"/>
      <c r="E47" s="311">
        <v>0.0758169539722638</v>
      </c>
      <c r="F47" s="311">
        <v>2.995</v>
      </c>
      <c r="G47" s="311">
        <v>0.025314508838819298</v>
      </c>
      <c r="H47" s="311"/>
      <c r="I47" s="311">
        <v>34.91537949916526</v>
      </c>
      <c r="J47" s="311">
        <v>25.314508838819297</v>
      </c>
      <c r="K47" s="331"/>
      <c r="L47" s="331"/>
      <c r="M47" s="331">
        <v>0.13550939999999997</v>
      </c>
      <c r="N47" s="331">
        <v>0.09867863999999998</v>
      </c>
      <c r="O47" s="331">
        <v>0.10457156159999997</v>
      </c>
      <c r="P47" s="331"/>
      <c r="Q47" s="331">
        <v>55.31471669029877</v>
      </c>
      <c r="R47" s="331">
        <v>28.305285142139958</v>
      </c>
      <c r="S47" s="331">
        <v>3.812306131652766</v>
      </c>
      <c r="T47" s="331">
        <v>18.29686721653354</v>
      </c>
      <c r="U47" s="331"/>
      <c r="V47" s="331">
        <v>45.24520868113521</v>
      </c>
      <c r="W47" s="331">
        <v>32.94779298831385</v>
      </c>
      <c r="X47" s="331">
        <v>34.91537949916527</v>
      </c>
      <c r="Y47" s="33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</row>
    <row r="48" spans="1:54" ht="12.75">
      <c r="A48" s="297"/>
      <c r="B48" s="1341"/>
      <c r="C48" s="307" t="s">
        <v>110</v>
      </c>
      <c r="D48" s="307">
        <v>39934</v>
      </c>
      <c r="E48" s="308">
        <v>0.085870631379132</v>
      </c>
      <c r="F48" s="309">
        <v>2.995</v>
      </c>
      <c r="G48" s="308">
        <v>0.028671329341947247</v>
      </c>
      <c r="H48" s="310"/>
      <c r="I48" s="308">
        <v>32.33561311863859</v>
      </c>
      <c r="J48" s="308">
        <v>28.671329341947246</v>
      </c>
      <c r="K48" s="314"/>
      <c r="L48" s="297"/>
      <c r="M48" s="314">
        <v>0.11153225806451614</v>
      </c>
      <c r="N48" s="314">
        <v>0.09313548387096773</v>
      </c>
      <c r="O48" s="315">
        <v>0.09684516129032258</v>
      </c>
      <c r="P48" s="297"/>
      <c r="Q48" s="316">
        <v>57.54399007635323</v>
      </c>
      <c r="R48" s="316">
        <v>29.992703181993807</v>
      </c>
      <c r="S48" s="316">
        <v>10.250499853082212</v>
      </c>
      <c r="T48" s="316">
        <v>21.857883418349726</v>
      </c>
      <c r="U48" s="297"/>
      <c r="V48" s="317">
        <v>37.239485163444456</v>
      </c>
      <c r="W48" s="317">
        <v>31.096989606333132</v>
      </c>
      <c r="X48" s="317">
        <v>32.33561311863859</v>
      </c>
      <c r="Y48" s="33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</row>
    <row r="49" spans="1:54" ht="12.75">
      <c r="A49" s="297"/>
      <c r="B49" s="1341"/>
      <c r="C49" s="307" t="s">
        <v>111</v>
      </c>
      <c r="D49" s="307"/>
      <c r="E49" s="308">
        <v>0.19783514791323623</v>
      </c>
      <c r="F49" s="309">
        <v>3.011</v>
      </c>
      <c r="G49" s="308">
        <v>0.06570413414587718</v>
      </c>
      <c r="H49" s="310"/>
      <c r="I49" s="308">
        <v>32.015941547658585</v>
      </c>
      <c r="J49" s="308">
        <v>65.70413414587718</v>
      </c>
      <c r="K49" s="314"/>
      <c r="L49" s="297"/>
      <c r="M49" s="314">
        <v>0.111</v>
      </c>
      <c r="N49" s="314">
        <v>0.0926</v>
      </c>
      <c r="O49" s="315">
        <v>0.0964</v>
      </c>
      <c r="P49" s="297"/>
      <c r="Q49" s="316">
        <v>81.50276558149227</v>
      </c>
      <c r="R49" s="316">
        <v>67.08788952109262</v>
      </c>
      <c r="S49" s="316">
        <v>57.14924203328795</v>
      </c>
      <c r="T49" s="316">
        <v>63.01111388394694</v>
      </c>
      <c r="U49" s="297"/>
      <c r="V49" s="317">
        <v>36.86482896047825</v>
      </c>
      <c r="W49" s="317">
        <v>30.753902358020593</v>
      </c>
      <c r="X49" s="317">
        <v>32.015941547658585</v>
      </c>
      <c r="Y49" s="33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</row>
    <row r="50" spans="1:54" ht="12.75">
      <c r="A50" s="297"/>
      <c r="B50" s="1341"/>
      <c r="C50" s="307" t="s">
        <v>112</v>
      </c>
      <c r="D50" s="307">
        <v>39995</v>
      </c>
      <c r="E50" s="308">
        <v>0.12312215581613645</v>
      </c>
      <c r="F50" s="309">
        <v>2.987</v>
      </c>
      <c r="G50" s="308">
        <v>0.041219335726861886</v>
      </c>
      <c r="H50" s="308"/>
      <c r="I50" s="308">
        <v>32.27318379645129</v>
      </c>
      <c r="J50" s="308">
        <v>41.219335726861885</v>
      </c>
      <c r="K50" s="314"/>
      <c r="L50" s="345"/>
      <c r="M50" s="314">
        <v>0.111</v>
      </c>
      <c r="N50" s="314">
        <v>0.0926</v>
      </c>
      <c r="O50" s="315">
        <v>0.0964</v>
      </c>
      <c r="P50" s="297"/>
      <c r="Q50" s="316">
        <v>49.31576684663895</v>
      </c>
      <c r="R50" s="316">
        <v>44.25149927975068</v>
      </c>
      <c r="S50" s="316">
        <v>31.996163896777265</v>
      </c>
      <c r="T50" s="316">
        <v>39.29089493581517</v>
      </c>
      <c r="U50" s="297"/>
      <c r="V50" s="317">
        <v>37.16103113491798</v>
      </c>
      <c r="W50" s="317">
        <v>31.001004352192837</v>
      </c>
      <c r="X50" s="317">
        <v>32.27318379645129</v>
      </c>
      <c r="Y50" s="33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</row>
    <row r="51" spans="1:54" ht="12.75">
      <c r="A51" s="297"/>
      <c r="B51" s="1341"/>
      <c r="C51" s="307" t="s">
        <v>113</v>
      </c>
      <c r="D51" s="307"/>
      <c r="E51" s="308">
        <v>0.0998802966869281</v>
      </c>
      <c r="F51" s="309">
        <v>2.948</v>
      </c>
      <c r="G51" s="308">
        <v>0.03388069765499597</v>
      </c>
      <c r="H51" s="308"/>
      <c r="I51" s="308">
        <v>32.17927955530267</v>
      </c>
      <c r="J51" s="308">
        <v>33.88069765499597</v>
      </c>
      <c r="K51" s="314"/>
      <c r="L51" s="345"/>
      <c r="M51" s="314">
        <v>0.09293548387096774</v>
      </c>
      <c r="N51" s="314">
        <v>0.10750322580645161</v>
      </c>
      <c r="O51" s="315">
        <v>0.09486451612903227</v>
      </c>
      <c r="P51" s="297"/>
      <c r="Q51" s="316">
        <v>38.51782032718287</v>
      </c>
      <c r="R51" s="316">
        <v>35.2706023403925</v>
      </c>
      <c r="S51" s="316">
        <v>29.157548808738543</v>
      </c>
      <c r="T51" s="316">
        <v>32.74829654193415</v>
      </c>
      <c r="U51" s="297"/>
      <c r="V51" s="317">
        <v>31.524926686217007</v>
      </c>
      <c r="W51" s="317">
        <v>36.46649450693745</v>
      </c>
      <c r="X51" s="317">
        <v>32.17927955530267</v>
      </c>
      <c r="Y51" s="33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</row>
    <row r="52" spans="1:54" ht="12.75">
      <c r="A52" s="297"/>
      <c r="B52" s="1341"/>
      <c r="C52" s="307" t="s">
        <v>119</v>
      </c>
      <c r="D52" s="307">
        <v>40057</v>
      </c>
      <c r="E52" s="308">
        <v>0.10450858019263708</v>
      </c>
      <c r="F52" s="309">
        <v>2.885</v>
      </c>
      <c r="G52" s="308">
        <v>0.03622481115862637</v>
      </c>
      <c r="H52" s="310"/>
      <c r="I52" s="308">
        <v>32.824956672443676</v>
      </c>
      <c r="J52" s="312">
        <v>36.22481115862637</v>
      </c>
      <c r="K52" s="313"/>
      <c r="L52" s="346"/>
      <c r="M52" s="314">
        <v>0.1091</v>
      </c>
      <c r="N52" s="314">
        <v>0.091</v>
      </c>
      <c r="O52" s="315">
        <v>0.0947</v>
      </c>
      <c r="P52" s="297"/>
      <c r="Q52" s="316">
        <v>39.143055249660875</v>
      </c>
      <c r="R52" s="316">
        <v>39.862963643544894</v>
      </c>
      <c r="S52" s="316">
        <v>29.353586361520776</v>
      </c>
      <c r="T52" s="316">
        <v>35.49001947623765</v>
      </c>
      <c r="U52" s="297"/>
      <c r="V52" s="317">
        <v>37.81629116117851</v>
      </c>
      <c r="W52" s="317">
        <v>31.542461005199307</v>
      </c>
      <c r="X52" s="317">
        <v>32.824956672443676</v>
      </c>
      <c r="Y52" s="33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</row>
    <row r="53" spans="1:54" ht="12.75">
      <c r="A53" s="297"/>
      <c r="B53" s="1341"/>
      <c r="C53" s="307" t="s">
        <v>115</v>
      </c>
      <c r="D53" s="307"/>
      <c r="E53" s="308">
        <v>0.05749896795237375</v>
      </c>
      <c r="F53" s="309">
        <v>2.906</v>
      </c>
      <c r="G53" s="308">
        <v>0.01978629317012173</v>
      </c>
      <c r="H53" s="310"/>
      <c r="I53" s="308">
        <v>32.58774948382656</v>
      </c>
      <c r="J53" s="312">
        <v>19.78629317012173</v>
      </c>
      <c r="K53" s="313"/>
      <c r="L53" s="346"/>
      <c r="M53" s="314">
        <v>0.1091</v>
      </c>
      <c r="N53" s="314">
        <v>0.091</v>
      </c>
      <c r="O53" s="315">
        <v>0.0947</v>
      </c>
      <c r="P53" s="297"/>
      <c r="Q53" s="316">
        <v>25.632529460801138</v>
      </c>
      <c r="R53" s="316">
        <v>20.81771493459947</v>
      </c>
      <c r="S53" s="316">
        <v>14.904293715045577</v>
      </c>
      <c r="T53" s="316">
        <v>18.36950700307604</v>
      </c>
      <c r="U53" s="297"/>
      <c r="V53" s="317">
        <v>37.54301445285616</v>
      </c>
      <c r="W53" s="317">
        <v>31.314521679284237</v>
      </c>
      <c r="X53" s="317">
        <v>32.58774948382657</v>
      </c>
      <c r="Y53" s="33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</row>
    <row r="54" spans="1:54" ht="12.75">
      <c r="A54" s="297"/>
      <c r="B54" s="1341"/>
      <c r="C54" s="307" t="s">
        <v>116</v>
      </c>
      <c r="D54" s="307">
        <v>40118</v>
      </c>
      <c r="E54" s="308">
        <v>0.058690834077752226</v>
      </c>
      <c r="F54" s="309">
        <v>2.881</v>
      </c>
      <c r="G54" s="308">
        <v>0.020371688329660614</v>
      </c>
      <c r="H54" s="310"/>
      <c r="I54" s="308">
        <v>32.676973658837596</v>
      </c>
      <c r="J54" s="312">
        <v>20.371688329660614</v>
      </c>
      <c r="K54" s="313"/>
      <c r="L54" s="346"/>
      <c r="M54" s="314">
        <v>0.1091</v>
      </c>
      <c r="N54" s="314">
        <v>0.091</v>
      </c>
      <c r="O54" s="315">
        <v>0.09414236111111111</v>
      </c>
      <c r="P54" s="297"/>
      <c r="Q54" s="316">
        <v>31.4845863703224</v>
      </c>
      <c r="R54" s="316">
        <v>19.989427842009412</v>
      </c>
      <c r="S54" s="316">
        <v>14.451925258512762</v>
      </c>
      <c r="T54" s="316">
        <v>17.687575671454777</v>
      </c>
      <c r="U54" s="297"/>
      <c r="V54" s="317">
        <v>37.86879555709823</v>
      </c>
      <c r="W54" s="317">
        <v>31.58625477264839</v>
      </c>
      <c r="X54" s="317">
        <v>32.6769736588376</v>
      </c>
      <c r="Y54" s="33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</row>
    <row r="55" spans="1:54" ht="13.5" thickBot="1">
      <c r="A55" s="297"/>
      <c r="B55" s="1342"/>
      <c r="C55" s="329" t="s">
        <v>117</v>
      </c>
      <c r="D55" s="329"/>
      <c r="E55" s="339">
        <v>0.049847465932751335</v>
      </c>
      <c r="F55" s="347">
        <v>2.891</v>
      </c>
      <c r="G55" s="339">
        <v>0.01724229191724363</v>
      </c>
      <c r="H55" s="348"/>
      <c r="I55" s="339">
        <v>32.486805547806874</v>
      </c>
      <c r="J55" s="338">
        <v>17.24229191724363</v>
      </c>
      <c r="K55" s="313"/>
      <c r="L55" s="346"/>
      <c r="M55" s="314">
        <v>0.1091</v>
      </c>
      <c r="N55" s="314">
        <v>0.091</v>
      </c>
      <c r="O55" s="315">
        <v>0.09391935483870967</v>
      </c>
      <c r="P55" s="297"/>
      <c r="Q55" s="316">
        <v>43.79554758835157</v>
      </c>
      <c r="R55" s="316">
        <v>15.230231509207474</v>
      </c>
      <c r="S55" s="316">
        <v>5.122197113433074</v>
      </c>
      <c r="T55" s="316">
        <v>11.05939930125452</v>
      </c>
      <c r="U55" s="297"/>
      <c r="V55" s="317">
        <v>37.73780698720166</v>
      </c>
      <c r="W55" s="317">
        <v>31.476997578692497</v>
      </c>
      <c r="X55" s="317">
        <v>32.48680554780687</v>
      </c>
      <c r="Y55" s="33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7"/>
    </row>
    <row r="56" spans="1:54" ht="12.75">
      <c r="A56" s="297"/>
      <c r="B56" s="1340">
        <v>2010</v>
      </c>
      <c r="C56" s="334" t="s">
        <v>99</v>
      </c>
      <c r="D56" s="334">
        <v>40179</v>
      </c>
      <c r="E56" s="341">
        <v>0.06614493676413108</v>
      </c>
      <c r="F56" s="342">
        <v>2.857</v>
      </c>
      <c r="G56" s="341">
        <v>0.023151885461718962</v>
      </c>
      <c r="H56" s="343"/>
      <c r="I56" s="341">
        <v>31.03709620964919</v>
      </c>
      <c r="J56" s="349">
        <v>23.151885461718962</v>
      </c>
      <c r="K56" s="313"/>
      <c r="L56" s="346"/>
      <c r="M56" s="314">
        <v>0.10289999999999999</v>
      </c>
      <c r="N56" s="314">
        <v>0.0858</v>
      </c>
      <c r="O56" s="315">
        <v>0.08867298387096774</v>
      </c>
      <c r="P56" s="297"/>
      <c r="Q56" s="316">
        <v>44.574993713619904</v>
      </c>
      <c r="R56" s="316">
        <v>26.771186003680885</v>
      </c>
      <c r="S56" s="316">
        <v>5.884843623917234</v>
      </c>
      <c r="T56" s="316">
        <v>18.197333952827044</v>
      </c>
      <c r="U56" s="297"/>
      <c r="V56" s="317">
        <v>36.016800840041995</v>
      </c>
      <c r="W56" s="317">
        <v>30.03150157507875</v>
      </c>
      <c r="X56" s="317">
        <v>31.037096209649192</v>
      </c>
      <c r="Y56" s="33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7"/>
      <c r="BA56" s="297"/>
      <c r="BB56" s="297"/>
    </row>
    <row r="57" spans="1:54" ht="12.75">
      <c r="A57" s="297"/>
      <c r="B57" s="1341"/>
      <c r="C57" s="307" t="s">
        <v>104</v>
      </c>
      <c r="D57" s="307"/>
      <c r="E57" s="308">
        <v>0.06994005809958534</v>
      </c>
      <c r="F57" s="309">
        <v>2.849</v>
      </c>
      <c r="G57" s="308">
        <v>0.024548984941939394</v>
      </c>
      <c r="H57" s="310"/>
      <c r="I57" s="308">
        <v>31.18763475906333</v>
      </c>
      <c r="J57" s="312">
        <v>24.548984941939395</v>
      </c>
      <c r="K57" s="313"/>
      <c r="L57" s="346"/>
      <c r="M57" s="314">
        <v>0.10289999999999999</v>
      </c>
      <c r="N57" s="314">
        <v>0.0858</v>
      </c>
      <c r="O57" s="315">
        <v>0.08885357142857143</v>
      </c>
      <c r="P57" s="297"/>
      <c r="Q57" s="316">
        <v>46.283394876772654</v>
      </c>
      <c r="R57" s="316">
        <v>27.768064621140056</v>
      </c>
      <c r="S57" s="316">
        <v>7.033293064549172</v>
      </c>
      <c r="T57" s="316">
        <v>19.220685147165554</v>
      </c>
      <c r="U57" s="297"/>
      <c r="V57" s="317">
        <v>36.11793611793612</v>
      </c>
      <c r="W57" s="317">
        <v>30.115830115830114</v>
      </c>
      <c r="X57" s="317">
        <v>31.187634759063332</v>
      </c>
      <c r="Y57" s="33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7"/>
    </row>
    <row r="58" spans="1:54" ht="12.75">
      <c r="A58" s="297"/>
      <c r="B58" s="1341"/>
      <c r="C58" s="307" t="s">
        <v>108</v>
      </c>
      <c r="D58" s="307">
        <v>40238</v>
      </c>
      <c r="E58" s="308">
        <v>0.06243084735265119</v>
      </c>
      <c r="F58" s="309">
        <v>2.842</v>
      </c>
      <c r="G58" s="308">
        <v>0.02196722285455707</v>
      </c>
      <c r="H58" s="310"/>
      <c r="I58" s="308">
        <v>31.281781344350865</v>
      </c>
      <c r="J58" s="312">
        <v>21.96722285455707</v>
      </c>
      <c r="K58" s="313"/>
      <c r="L58" s="346"/>
      <c r="M58" s="314">
        <v>0.10289999999999999</v>
      </c>
      <c r="N58" s="314">
        <v>0.0858</v>
      </c>
      <c r="O58" s="315">
        <v>0.08890282258064516</v>
      </c>
      <c r="P58" s="297"/>
      <c r="Q58" s="316">
        <v>44.870892184540594</v>
      </c>
      <c r="R58" s="316">
        <v>23.434913183398113</v>
      </c>
      <c r="S58" s="316">
        <v>5.8515017964509575</v>
      </c>
      <c r="T58" s="316">
        <v>16.14405106025243</v>
      </c>
      <c r="U58" s="297"/>
      <c r="V58" s="317">
        <v>36.206896551724135</v>
      </c>
      <c r="W58" s="317">
        <v>30.190007037297676</v>
      </c>
      <c r="X58" s="317">
        <v>31.28178134435087</v>
      </c>
      <c r="Y58" s="337"/>
      <c r="Z58" s="297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7"/>
    </row>
    <row r="59" spans="1:54" ht="12.75">
      <c r="A59" s="297"/>
      <c r="B59" s="1341"/>
      <c r="C59" s="307" t="s">
        <v>109</v>
      </c>
      <c r="D59" s="307"/>
      <c r="E59" s="308">
        <v>0.04730502561474757</v>
      </c>
      <c r="F59" s="309">
        <v>2.849</v>
      </c>
      <c r="G59" s="308">
        <v>0.01660408059485699</v>
      </c>
      <c r="H59" s="310"/>
      <c r="I59" s="308">
        <v>31.074499824499817</v>
      </c>
      <c r="J59" s="312">
        <v>16.604080594856992</v>
      </c>
      <c r="K59" s="313"/>
      <c r="L59" s="346"/>
      <c r="M59" s="314">
        <v>0.10289999999999999</v>
      </c>
      <c r="N59" s="314">
        <v>0.0858</v>
      </c>
      <c r="O59" s="315">
        <v>0.08853124999999999</v>
      </c>
      <c r="P59" s="297"/>
      <c r="Q59" s="316">
        <v>33.44254538512569</v>
      </c>
      <c r="R59" s="316">
        <v>16.425263971160785</v>
      </c>
      <c r="S59" s="316">
        <v>7.099764044956516</v>
      </c>
      <c r="T59" s="316">
        <v>12.577906238873501</v>
      </c>
      <c r="U59" s="297"/>
      <c r="V59" s="317">
        <v>36.11793611793612</v>
      </c>
      <c r="W59" s="317">
        <v>30.115830115830114</v>
      </c>
      <c r="X59" s="317">
        <v>31.07449982449982</v>
      </c>
      <c r="Y59" s="33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297"/>
      <c r="AW59" s="297"/>
      <c r="AX59" s="297"/>
      <c r="AY59" s="297"/>
      <c r="AZ59" s="297"/>
      <c r="BA59" s="297"/>
      <c r="BB59" s="297"/>
    </row>
    <row r="60" spans="1:54" ht="12.75">
      <c r="A60" s="297"/>
      <c r="B60" s="1341"/>
      <c r="C60" s="307" t="s">
        <v>110</v>
      </c>
      <c r="D60" s="307">
        <v>40299</v>
      </c>
      <c r="E60" s="308">
        <v>0.05166713371435136</v>
      </c>
      <c r="F60" s="309">
        <v>2.845</v>
      </c>
      <c r="G60" s="308">
        <v>0.01816067968869995</v>
      </c>
      <c r="H60" s="310"/>
      <c r="I60" s="308">
        <v>28.854054462649053</v>
      </c>
      <c r="J60" s="312">
        <v>18.16067968869995</v>
      </c>
      <c r="K60" s="313"/>
      <c r="L60" s="346"/>
      <c r="M60" s="314">
        <v>0.0981</v>
      </c>
      <c r="N60" s="314">
        <v>0.0787</v>
      </c>
      <c r="O60" s="315">
        <v>0.08208978494623656</v>
      </c>
      <c r="P60" s="297"/>
      <c r="Q60" s="316">
        <v>24.98226134288631</v>
      </c>
      <c r="R60" s="316">
        <v>17.765064240938784</v>
      </c>
      <c r="S60" s="316">
        <v>14.831558831872126</v>
      </c>
      <c r="T60" s="316">
        <v>16.559768274204295</v>
      </c>
      <c r="U60" s="297"/>
      <c r="V60" s="317">
        <v>34.481546572934974</v>
      </c>
      <c r="W60" s="317">
        <v>27.66256590509666</v>
      </c>
      <c r="X60" s="317">
        <v>28.854054462649053</v>
      </c>
      <c r="Y60" s="33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</row>
    <row r="61" spans="1:54" ht="12.75">
      <c r="A61" s="297"/>
      <c r="B61" s="1341"/>
      <c r="C61" s="307" t="s">
        <v>111</v>
      </c>
      <c r="D61" s="307"/>
      <c r="E61" s="308">
        <v>0.057761890081474775</v>
      </c>
      <c r="F61" s="309">
        <v>2.827</v>
      </c>
      <c r="G61" s="308">
        <v>0.02043222146497162</v>
      </c>
      <c r="H61" s="310"/>
      <c r="I61" s="308">
        <v>29.030086860826163</v>
      </c>
      <c r="J61" s="312">
        <v>20.432221464971622</v>
      </c>
      <c r="K61" s="313"/>
      <c r="L61" s="346"/>
      <c r="M61" s="314">
        <v>0.0981</v>
      </c>
      <c r="N61" s="314">
        <v>0.0787</v>
      </c>
      <c r="O61" s="315">
        <v>0.08206805555555556</v>
      </c>
      <c r="P61" s="297"/>
      <c r="Q61" s="316">
        <v>21.46365950671952</v>
      </c>
      <c r="R61" s="316">
        <v>21.034796719755477</v>
      </c>
      <c r="S61" s="316">
        <v>18.976756702017614</v>
      </c>
      <c r="T61" s="316">
        <v>20.18224407061089</v>
      </c>
      <c r="U61" s="297"/>
      <c r="V61" s="317">
        <v>34.70109656880086</v>
      </c>
      <c r="W61" s="317">
        <v>27.838698266713834</v>
      </c>
      <c r="X61" s="317">
        <v>29.030086860826163</v>
      </c>
      <c r="Y61" s="337"/>
      <c r="Z61" s="297"/>
      <c r="AA61" s="297"/>
      <c r="AB61" s="297"/>
      <c r="AC61" s="297"/>
      <c r="AD61" s="297"/>
      <c r="AE61" s="297"/>
      <c r="AF61" s="297"/>
      <c r="AG61" s="297"/>
      <c r="AH61" s="297"/>
      <c r="AI61" s="297"/>
      <c r="AJ61" s="297"/>
      <c r="AK61" s="297"/>
      <c r="AL61" s="297"/>
      <c r="AM61" s="297"/>
      <c r="AN61" s="297"/>
      <c r="AO61" s="297"/>
      <c r="AP61" s="297"/>
      <c r="AQ61" s="297"/>
      <c r="AR61" s="297"/>
      <c r="AS61" s="297"/>
      <c r="AT61" s="297"/>
      <c r="AU61" s="297"/>
      <c r="AV61" s="297"/>
      <c r="AW61" s="297"/>
      <c r="AX61" s="297"/>
      <c r="AY61" s="297"/>
      <c r="AZ61" s="297"/>
      <c r="BA61" s="297"/>
      <c r="BB61" s="297"/>
    </row>
    <row r="62" spans="1:54" ht="12.75">
      <c r="A62" s="297"/>
      <c r="B62" s="1341"/>
      <c r="C62" s="307" t="s">
        <v>112</v>
      </c>
      <c r="D62" s="307">
        <v>40360</v>
      </c>
      <c r="E62" s="308">
        <v>0.056145206767578795</v>
      </c>
      <c r="F62" s="309">
        <v>2.824</v>
      </c>
      <c r="G62" s="308">
        <v>0.019881447155658215</v>
      </c>
      <c r="H62" s="310"/>
      <c r="I62" s="308">
        <v>28.976286210362794</v>
      </c>
      <c r="J62" s="312">
        <v>19.881447155658215</v>
      </c>
      <c r="K62" s="313"/>
      <c r="L62" s="346"/>
      <c r="M62" s="314">
        <v>0.0981</v>
      </c>
      <c r="N62" s="314">
        <v>0.0787</v>
      </c>
      <c r="O62" s="315">
        <v>0.08182903225806452</v>
      </c>
      <c r="P62" s="297"/>
      <c r="Q62" s="316">
        <v>21.317843781656617</v>
      </c>
      <c r="R62" s="316">
        <v>20.740567326753307</v>
      </c>
      <c r="S62" s="316">
        <v>17.836560787365386</v>
      </c>
      <c r="T62" s="316">
        <v>19.545461965718157</v>
      </c>
      <c r="U62" s="297"/>
      <c r="V62" s="317">
        <v>34.73796033994335</v>
      </c>
      <c r="W62" s="317">
        <v>27.868271954674224</v>
      </c>
      <c r="X62" s="317">
        <v>28.976286210362794</v>
      </c>
      <c r="Y62" s="33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97"/>
    </row>
    <row r="63" spans="1:54" ht="12.75">
      <c r="A63" s="297"/>
      <c r="B63" s="1341"/>
      <c r="C63" s="307" t="s">
        <v>113</v>
      </c>
      <c r="D63" s="307"/>
      <c r="E63" s="308">
        <v>0.0640553001393043</v>
      </c>
      <c r="F63" s="309">
        <v>2.798</v>
      </c>
      <c r="G63" s="308">
        <v>0.022893245224912186</v>
      </c>
      <c r="H63" s="310"/>
      <c r="I63" s="308">
        <v>29.838833312807868</v>
      </c>
      <c r="J63" s="312">
        <v>22.893245224912185</v>
      </c>
      <c r="K63" s="313"/>
      <c r="L63" s="346"/>
      <c r="M63" s="314">
        <v>0.1005623271889401</v>
      </c>
      <c r="N63" s="314">
        <v>0.0798741935483871</v>
      </c>
      <c r="O63" s="315">
        <v>0.08348905560923642</v>
      </c>
      <c r="P63" s="297"/>
      <c r="Q63" s="316">
        <v>24.587899207448007</v>
      </c>
      <c r="R63" s="316">
        <v>24.393126109597418</v>
      </c>
      <c r="S63" s="316">
        <v>19.792591053589362</v>
      </c>
      <c r="T63" s="316">
        <v>22.499645992605526</v>
      </c>
      <c r="U63" s="297"/>
      <c r="V63" s="317">
        <v>35.9407888452252</v>
      </c>
      <c r="W63" s="317">
        <v>28.54688833037423</v>
      </c>
      <c r="X63" s="317">
        <v>29.838833312807868</v>
      </c>
      <c r="Y63" s="33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7"/>
      <c r="AK63" s="297"/>
      <c r="AL63" s="297"/>
      <c r="AM63" s="297"/>
      <c r="AN63" s="297"/>
      <c r="AO63" s="297"/>
      <c r="AP63" s="297"/>
      <c r="AQ63" s="297"/>
      <c r="AR63" s="297"/>
      <c r="AS63" s="297"/>
      <c r="AT63" s="297"/>
      <c r="AU63" s="297"/>
      <c r="AV63" s="297"/>
      <c r="AW63" s="297"/>
      <c r="AX63" s="297"/>
      <c r="AY63" s="297"/>
      <c r="AZ63" s="297"/>
      <c r="BA63" s="297"/>
      <c r="BB63" s="297"/>
    </row>
    <row r="64" spans="1:54" ht="12.75">
      <c r="A64" s="297"/>
      <c r="B64" s="1341"/>
      <c r="C64" s="307" t="s">
        <v>114</v>
      </c>
      <c r="D64" s="307">
        <v>40422</v>
      </c>
      <c r="E64" s="308">
        <v>0.06647327657315469</v>
      </c>
      <c r="F64" s="309">
        <v>2.788</v>
      </c>
      <c r="G64" s="308">
        <v>0.02384263865608131</v>
      </c>
      <c r="H64" s="310"/>
      <c r="I64" s="308">
        <v>29.97020962856688</v>
      </c>
      <c r="J64" s="312">
        <v>23.84263865608131</v>
      </c>
      <c r="K64" s="313"/>
      <c r="L64" s="346">
        <v>21.55788852073195</v>
      </c>
      <c r="M64" s="314">
        <v>0.09970000000000001</v>
      </c>
      <c r="N64" s="314">
        <v>0.08</v>
      </c>
      <c r="O64" s="315">
        <v>0.08355694444444445</v>
      </c>
      <c r="P64" s="297">
        <v>46.28311735507557</v>
      </c>
      <c r="Q64" s="316">
        <v>25.54107489756745</v>
      </c>
      <c r="R64" s="316">
        <v>24.75925702413946</v>
      </c>
      <c r="S64" s="316">
        <v>21.528246449162467</v>
      </c>
      <c r="T64" s="316">
        <v>23.408578221902452</v>
      </c>
      <c r="U64" s="297"/>
      <c r="V64" s="317">
        <v>35.76040172166428</v>
      </c>
      <c r="W64" s="317">
        <v>28.69440459110474</v>
      </c>
      <c r="X64" s="317">
        <v>29.970209628566877</v>
      </c>
      <c r="Y64" s="33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297"/>
      <c r="AM64" s="297"/>
      <c r="AN64" s="297"/>
      <c r="AO64" s="297"/>
      <c r="AP64" s="297"/>
      <c r="AQ64" s="297"/>
      <c r="AR64" s="297"/>
      <c r="AS64" s="297"/>
      <c r="AT64" s="297"/>
      <c r="AU64" s="297"/>
      <c r="AV64" s="297"/>
      <c r="AW64" s="297"/>
      <c r="AX64" s="297"/>
      <c r="AY64" s="297"/>
      <c r="AZ64" s="297"/>
      <c r="BA64" s="297"/>
      <c r="BB64" s="297"/>
    </row>
    <row r="65" spans="1:54" ht="12.75">
      <c r="A65" s="297"/>
      <c r="B65" s="1341"/>
      <c r="C65" s="307" t="s">
        <v>115</v>
      </c>
      <c r="D65" s="307"/>
      <c r="E65" s="308">
        <v>0.06779188604104058</v>
      </c>
      <c r="F65" s="309">
        <v>2.798</v>
      </c>
      <c r="G65" s="308">
        <v>0.024228694081858678</v>
      </c>
      <c r="H65" s="310"/>
      <c r="I65" s="308">
        <v>29.82208874234284</v>
      </c>
      <c r="J65" s="312">
        <v>24.228694081858677</v>
      </c>
      <c r="K65" s="313"/>
      <c r="L65" s="346">
        <v>21.55788852073195</v>
      </c>
      <c r="M65" s="314">
        <v>0.09970000000000001</v>
      </c>
      <c r="N65" s="314">
        <v>0.08</v>
      </c>
      <c r="O65" s="315">
        <v>0.08344220430107527</v>
      </c>
      <c r="P65" s="297">
        <v>46.28311735507557</v>
      </c>
      <c r="Q65" s="316">
        <v>26.386348589396025</v>
      </c>
      <c r="R65" s="316">
        <v>24.926014556996144</v>
      </c>
      <c r="S65" s="316">
        <v>22.023719406671493</v>
      </c>
      <c r="T65" s="316">
        <v>23.72677059985505</v>
      </c>
      <c r="U65" s="297"/>
      <c r="V65" s="317">
        <v>35.63259471050751</v>
      </c>
      <c r="W65" s="317">
        <v>28.591851322373124</v>
      </c>
      <c r="X65" s="317">
        <v>29.82208874234284</v>
      </c>
      <c r="Y65" s="337"/>
      <c r="Z65" s="297"/>
      <c r="AA65" s="297"/>
      <c r="AB65" s="297"/>
      <c r="AC65" s="297"/>
      <c r="AD65" s="297"/>
      <c r="AE65" s="297"/>
      <c r="AF65" s="297"/>
      <c r="AG65" s="297"/>
      <c r="AH65" s="297"/>
      <c r="AI65" s="297"/>
      <c r="AJ65" s="297"/>
      <c r="AK65" s="297"/>
      <c r="AL65" s="297"/>
      <c r="AM65" s="297"/>
      <c r="AN65" s="297"/>
      <c r="AO65" s="297"/>
      <c r="AP65" s="297"/>
      <c r="AQ65" s="297"/>
      <c r="AR65" s="297"/>
      <c r="AS65" s="297"/>
      <c r="AT65" s="297"/>
      <c r="AU65" s="297"/>
      <c r="AV65" s="297"/>
      <c r="AW65" s="297"/>
      <c r="AX65" s="297"/>
      <c r="AY65" s="297"/>
      <c r="AZ65" s="297"/>
      <c r="BA65" s="297"/>
      <c r="BB65" s="297"/>
    </row>
    <row r="66" spans="1:54" ht="12.75">
      <c r="A66" s="297"/>
      <c r="B66" s="1341"/>
      <c r="C66" s="307" t="s">
        <v>116</v>
      </c>
      <c r="D66" s="307">
        <v>40483</v>
      </c>
      <c r="E66" s="308">
        <v>0.06542277168880252</v>
      </c>
      <c r="F66" s="309">
        <v>2.832</v>
      </c>
      <c r="G66" s="308">
        <v>0.023101261189548913</v>
      </c>
      <c r="H66" s="310"/>
      <c r="I66" s="308">
        <v>29.45626373195229</v>
      </c>
      <c r="J66" s="312">
        <v>23.101261189548914</v>
      </c>
      <c r="K66" s="313"/>
      <c r="L66" s="346">
        <v>21.703255388505656</v>
      </c>
      <c r="M66" s="314">
        <v>0.09970000000000001</v>
      </c>
      <c r="N66" s="314">
        <v>0.08</v>
      </c>
      <c r="O66" s="315">
        <v>0.08342013888888888</v>
      </c>
      <c r="P66" s="297">
        <v>46.03642764382488</v>
      </c>
      <c r="Q66" s="316">
        <v>25.822971782493074</v>
      </c>
      <c r="R66" s="316">
        <v>24.961720157616185</v>
      </c>
      <c r="S66" s="316">
        <v>18.896536306185432</v>
      </c>
      <c r="T66" s="316">
        <v>22.416125474128897</v>
      </c>
      <c r="U66" s="297"/>
      <c r="V66" s="317">
        <v>35.20480225988701</v>
      </c>
      <c r="W66" s="317">
        <v>28.24858757062147</v>
      </c>
      <c r="X66" s="317">
        <v>29.45626373195229</v>
      </c>
      <c r="Y66" s="337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297"/>
      <c r="AM66" s="297"/>
      <c r="AN66" s="297"/>
      <c r="AO66" s="297"/>
      <c r="AP66" s="297"/>
      <c r="AQ66" s="297"/>
      <c r="AR66" s="297"/>
      <c r="AS66" s="297"/>
      <c r="AT66" s="297"/>
      <c r="AU66" s="297"/>
      <c r="AV66" s="297"/>
      <c r="AW66" s="297"/>
      <c r="AX66" s="297"/>
      <c r="AY66" s="297"/>
      <c r="AZ66" s="297"/>
      <c r="BA66" s="297"/>
      <c r="BB66" s="297"/>
    </row>
    <row r="67" spans="1:54" ht="13.5" thickBot="1">
      <c r="A67" s="297"/>
      <c r="B67" s="1342"/>
      <c r="C67" s="329" t="s">
        <v>117</v>
      </c>
      <c r="D67" s="329"/>
      <c r="E67" s="339">
        <v>0.052691259154911435</v>
      </c>
      <c r="F67" s="347">
        <v>2.809</v>
      </c>
      <c r="G67" s="339">
        <v>0.01875801322709556</v>
      </c>
      <c r="H67" s="348"/>
      <c r="I67" s="339">
        <v>29.611042846151197</v>
      </c>
      <c r="J67" s="338">
        <v>18.75801322709556</v>
      </c>
      <c r="K67" s="313"/>
      <c r="L67" s="346">
        <v>21.441690433520673</v>
      </c>
      <c r="M67" s="314">
        <v>0.09970000000000001</v>
      </c>
      <c r="N67" s="314">
        <v>0.08</v>
      </c>
      <c r="O67" s="315">
        <v>0.08317741935483872</v>
      </c>
      <c r="P67" s="297">
        <v>45.4349345261625</v>
      </c>
      <c r="Q67" s="316">
        <v>23.247879371309327</v>
      </c>
      <c r="R67" s="316">
        <v>19.183003760810774</v>
      </c>
      <c r="S67" s="316">
        <v>14.057375546481614</v>
      </c>
      <c r="T67" s="316">
        <v>17.06462412934179</v>
      </c>
      <c r="U67" s="297"/>
      <c r="V67" s="317">
        <v>35.493058027767894</v>
      </c>
      <c r="W67" s="317">
        <v>28.479886080455675</v>
      </c>
      <c r="X67" s="317">
        <v>29.6110428461512</v>
      </c>
      <c r="Y67" s="337"/>
      <c r="Z67" s="297"/>
      <c r="AA67" s="297"/>
      <c r="AB67" s="297"/>
      <c r="AC67" s="297"/>
      <c r="AD67" s="297"/>
      <c r="AE67" s="297"/>
      <c r="AF67" s="297"/>
      <c r="AG67" s="297"/>
      <c r="AH67" s="297"/>
      <c r="AI67" s="297"/>
      <c r="AJ67" s="297"/>
      <c r="AK67" s="297"/>
      <c r="AL67" s="297"/>
      <c r="AM67" s="297"/>
      <c r="AN67" s="297"/>
      <c r="AO67" s="297"/>
      <c r="AP67" s="297"/>
      <c r="AQ67" s="297"/>
      <c r="AR67" s="297"/>
      <c r="AS67" s="297"/>
      <c r="AT67" s="297"/>
      <c r="AU67" s="297"/>
      <c r="AV67" s="297"/>
      <c r="AW67" s="297"/>
      <c r="AX67" s="297"/>
      <c r="AY67" s="297"/>
      <c r="AZ67" s="297"/>
      <c r="BA67" s="297"/>
      <c r="BB67" s="297"/>
    </row>
    <row r="68" spans="1:54" ht="12.75">
      <c r="A68" s="297"/>
      <c r="B68" s="1340">
        <v>2011</v>
      </c>
      <c r="C68" s="334" t="s">
        <v>99</v>
      </c>
      <c r="D68" s="334">
        <v>40544</v>
      </c>
      <c r="E68" s="341">
        <v>0.048713932672003475</v>
      </c>
      <c r="F68" s="342">
        <v>2.773</v>
      </c>
      <c r="G68" s="341">
        <v>0.017567231399929127</v>
      </c>
      <c r="H68" s="343"/>
      <c r="I68" s="341">
        <v>30.043206573370714</v>
      </c>
      <c r="J68" s="349">
        <v>17.567231399929128</v>
      </c>
      <c r="K68" s="313"/>
      <c r="L68" s="346">
        <v>17.489153501685415</v>
      </c>
      <c r="M68" s="314">
        <v>0.09970000000000001</v>
      </c>
      <c r="N68" s="314">
        <v>0.08</v>
      </c>
      <c r="O68" s="315">
        <v>0.08330981182795699</v>
      </c>
      <c r="P68" s="297">
        <v>45.42992841691316</v>
      </c>
      <c r="Q68" s="316">
        <v>24.91093222502768</v>
      </c>
      <c r="R68" s="316">
        <v>19.29294048180995</v>
      </c>
      <c r="S68" s="316">
        <v>11.012501428754492</v>
      </c>
      <c r="T68" s="316">
        <v>15.884286715265619</v>
      </c>
      <c r="U68" s="297"/>
      <c r="V68" s="317">
        <v>35.95384060584205</v>
      </c>
      <c r="W68" s="317">
        <v>28.849621348719797</v>
      </c>
      <c r="X68" s="317">
        <v>30.043206573370714</v>
      </c>
      <c r="Y68" s="337"/>
      <c r="Z68" s="297"/>
      <c r="AA68" s="297"/>
      <c r="AB68" s="297"/>
      <c r="AC68" s="297"/>
      <c r="AD68" s="297"/>
      <c r="AE68" s="297"/>
      <c r="AF68" s="297"/>
      <c r="AG68" s="297"/>
      <c r="AH68" s="297"/>
      <c r="AI68" s="297"/>
      <c r="AJ68" s="297"/>
      <c r="AK68" s="297"/>
      <c r="AL68" s="297"/>
      <c r="AM68" s="297"/>
      <c r="AN68" s="297"/>
      <c r="AO68" s="297"/>
      <c r="AP68" s="297"/>
      <c r="AQ68" s="297"/>
      <c r="AR68" s="297"/>
      <c r="AS68" s="297"/>
      <c r="AT68" s="297"/>
      <c r="AU68" s="297"/>
      <c r="AV68" s="297"/>
      <c r="AW68" s="297"/>
      <c r="AX68" s="297"/>
      <c r="AY68" s="297"/>
      <c r="AZ68" s="297"/>
      <c r="BA68" s="297"/>
      <c r="BB68" s="297"/>
    </row>
    <row r="69" spans="1:54" ht="12.75">
      <c r="A69" s="297"/>
      <c r="B69" s="1341"/>
      <c r="C69" s="307" t="s">
        <v>104</v>
      </c>
      <c r="D69" s="307"/>
      <c r="E69" s="308">
        <v>0.060334185662621255</v>
      </c>
      <c r="F69" s="309">
        <v>2.775</v>
      </c>
      <c r="G69" s="308">
        <v>0.021742048887431083</v>
      </c>
      <c r="H69" s="310"/>
      <c r="I69" s="308">
        <v>30.096525096525095</v>
      </c>
      <c r="J69" s="312">
        <v>21.742048887431082</v>
      </c>
      <c r="K69" s="313"/>
      <c r="L69" s="346">
        <v>19.536263884733266</v>
      </c>
      <c r="M69" s="314">
        <v>0.09970000000000001</v>
      </c>
      <c r="N69" s="314">
        <v>0.08</v>
      </c>
      <c r="O69" s="315">
        <v>0.08351785714285714</v>
      </c>
      <c r="P69" s="297">
        <v>45.191590201522736</v>
      </c>
      <c r="Q69" s="316">
        <v>32.41873332972036</v>
      </c>
      <c r="R69" s="316">
        <v>25.14974088029851</v>
      </c>
      <c r="S69" s="316">
        <v>10.67174180110618</v>
      </c>
      <c r="T69" s="316">
        <v>19.14695235421005</v>
      </c>
      <c r="U69" s="297"/>
      <c r="V69" s="317">
        <v>35.92792792792793</v>
      </c>
      <c r="W69" s="317">
        <v>28.82882882882883</v>
      </c>
      <c r="X69" s="317">
        <v>30.0965250965251</v>
      </c>
      <c r="Y69" s="337"/>
      <c r="Z69" s="297"/>
      <c r="AA69" s="297"/>
      <c r="AB69" s="297"/>
      <c r="AC69" s="297"/>
      <c r="AD69" s="297"/>
      <c r="AE69" s="297"/>
      <c r="AF69" s="297"/>
      <c r="AG69" s="297"/>
      <c r="AH69" s="297"/>
      <c r="AI69" s="297"/>
      <c r="AJ69" s="297"/>
      <c r="AK69" s="297"/>
      <c r="AL69" s="297"/>
      <c r="AM69" s="297"/>
      <c r="AN69" s="297"/>
      <c r="AO69" s="297"/>
      <c r="AP69" s="297"/>
      <c r="AQ69" s="297"/>
      <c r="AR69" s="297"/>
      <c r="AS69" s="297"/>
      <c r="AT69" s="297"/>
      <c r="AU69" s="297"/>
      <c r="AV69" s="297"/>
      <c r="AW69" s="297"/>
      <c r="AX69" s="297"/>
      <c r="AY69" s="297"/>
      <c r="AZ69" s="297"/>
      <c r="BA69" s="297"/>
      <c r="BB69" s="297"/>
    </row>
    <row r="70" spans="1:54" ht="12.75">
      <c r="A70" s="297"/>
      <c r="B70" s="1341"/>
      <c r="C70" s="307" t="s">
        <v>108</v>
      </c>
      <c r="D70" s="307">
        <v>40603</v>
      </c>
      <c r="E70" s="308">
        <v>0.06066172534597207</v>
      </c>
      <c r="F70" s="309">
        <v>2.805</v>
      </c>
      <c r="G70" s="308">
        <v>0.021626283545801095</v>
      </c>
      <c r="H70" s="310"/>
      <c r="I70" s="308">
        <v>29.7948651601403</v>
      </c>
      <c r="J70" s="312">
        <v>21.626283545801094</v>
      </c>
      <c r="K70" s="313"/>
      <c r="L70" s="346">
        <v>20.264233751767396</v>
      </c>
      <c r="M70" s="314">
        <v>0.09970000000000001</v>
      </c>
      <c r="N70" s="314">
        <v>0.08</v>
      </c>
      <c r="O70" s="315">
        <v>0.08357459677419356</v>
      </c>
      <c r="P70" s="297">
        <v>44.931227115794655</v>
      </c>
      <c r="Q70" s="316">
        <v>34.790391398760995</v>
      </c>
      <c r="R70" s="316">
        <v>24.50285975859877</v>
      </c>
      <c r="S70" s="316">
        <v>9.705674171907765</v>
      </c>
      <c r="T70" s="316">
        <v>18.345505776383938</v>
      </c>
      <c r="U70" s="297"/>
      <c r="V70" s="317">
        <v>35.54367201426025</v>
      </c>
      <c r="W70" s="317">
        <v>28.520499108734402</v>
      </c>
      <c r="X70" s="317">
        <v>29.794865160140304</v>
      </c>
      <c r="Y70" s="33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7"/>
      <c r="AK70" s="297"/>
      <c r="AL70" s="297"/>
      <c r="AM70" s="297"/>
      <c r="AN70" s="297"/>
      <c r="AO70" s="297"/>
      <c r="AP70" s="297"/>
      <c r="AQ70" s="297"/>
      <c r="AR70" s="297"/>
      <c r="AS70" s="297"/>
      <c r="AT70" s="297"/>
      <c r="AU70" s="297"/>
      <c r="AV70" s="297"/>
      <c r="AW70" s="297"/>
      <c r="AX70" s="297"/>
      <c r="AY70" s="297"/>
      <c r="AZ70" s="297"/>
      <c r="BA70" s="297"/>
      <c r="BB70" s="297"/>
    </row>
    <row r="71" spans="1:54" ht="12.75">
      <c r="A71" s="297"/>
      <c r="B71" s="1341"/>
      <c r="C71" s="307" t="s">
        <v>109</v>
      </c>
      <c r="D71" s="307"/>
      <c r="E71" s="308">
        <v>0.05053915856758178</v>
      </c>
      <c r="F71" s="309">
        <v>2.821</v>
      </c>
      <c r="G71" s="308">
        <v>0.017915334479823387</v>
      </c>
      <c r="H71" s="310"/>
      <c r="I71" s="308">
        <v>31.03474930087833</v>
      </c>
      <c r="J71" s="312">
        <v>17.915334479823386</v>
      </c>
      <c r="K71" s="313"/>
      <c r="L71" s="346">
        <v>19.678539888468528</v>
      </c>
      <c r="M71" s="314">
        <v>0.10501</v>
      </c>
      <c r="N71" s="314">
        <v>0.08423</v>
      </c>
      <c r="O71" s="315">
        <v>0.08754902777777777</v>
      </c>
      <c r="P71" s="297"/>
      <c r="Q71" s="316">
        <v>28.504131311093403</v>
      </c>
      <c r="R71" s="316">
        <v>20.00131214158887</v>
      </c>
      <c r="S71" s="316">
        <v>9.027383363408132</v>
      </c>
      <c r="T71" s="316">
        <v>15.48918261453112</v>
      </c>
      <c r="U71" s="297"/>
      <c r="V71" s="317">
        <v>37.224388514711094</v>
      </c>
      <c r="W71" s="317">
        <v>29.85820630981921</v>
      </c>
      <c r="X71" s="317">
        <v>31.034749300878328</v>
      </c>
      <c r="Y71" s="33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297"/>
      <c r="AM71" s="297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97"/>
      <c r="AY71" s="297"/>
      <c r="AZ71" s="297"/>
      <c r="BA71" s="297"/>
      <c r="BB71" s="297"/>
    </row>
    <row r="72" spans="1:54" ht="12.75">
      <c r="A72" s="297"/>
      <c r="B72" s="1341"/>
      <c r="C72" s="307" t="s">
        <v>110</v>
      </c>
      <c r="D72" s="307">
        <v>40664</v>
      </c>
      <c r="E72" s="308">
        <v>0.05198472219700549</v>
      </c>
      <c r="F72" s="309">
        <v>2.767</v>
      </c>
      <c r="G72" s="308">
        <v>0.018787395083847306</v>
      </c>
      <c r="H72" s="310"/>
      <c r="I72" s="308">
        <v>34.17484815402179</v>
      </c>
      <c r="J72" s="312">
        <v>18.787395083847304</v>
      </c>
      <c r="K72" s="313"/>
      <c r="L72" s="346">
        <v>19.49525882856816</v>
      </c>
      <c r="M72" s="314">
        <v>0.09793225806451614</v>
      </c>
      <c r="N72" s="314">
        <v>0.09384819096774193</v>
      </c>
      <c r="O72" s="315">
        <v>0.09456180484217828</v>
      </c>
      <c r="P72" s="297"/>
      <c r="Q72" s="316">
        <v>25.0173102413004</v>
      </c>
      <c r="R72" s="316">
        <v>19.334063094475294</v>
      </c>
      <c r="S72" s="316">
        <v>14.369618236639932</v>
      </c>
      <c r="T72" s="316">
        <v>17.269179665966952</v>
      </c>
      <c r="U72" s="297"/>
      <c r="V72" s="317">
        <v>35.392937500728635</v>
      </c>
      <c r="W72" s="317">
        <v>33.91694650081023</v>
      </c>
      <c r="X72" s="317">
        <v>34.17484815402179</v>
      </c>
      <c r="Y72" s="33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297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97"/>
    </row>
    <row r="73" spans="1:54" ht="12.75">
      <c r="A73" s="297"/>
      <c r="B73" s="1341"/>
      <c r="C73" s="307" t="s">
        <v>111</v>
      </c>
      <c r="D73" s="307"/>
      <c r="E73" s="311">
        <v>0.07110378484154557</v>
      </c>
      <c r="F73" s="311">
        <v>2.75</v>
      </c>
      <c r="G73" s="311">
        <v>0.025855921760562027</v>
      </c>
      <c r="H73" s="311"/>
      <c r="I73" s="311">
        <v>34.41270053030303</v>
      </c>
      <c r="J73" s="311">
        <v>25.855921760562026</v>
      </c>
      <c r="K73" s="331"/>
      <c r="L73" s="331">
        <v>20.5573814840961</v>
      </c>
      <c r="M73" s="331">
        <v>0.09804921</v>
      </c>
      <c r="N73" s="331">
        <v>0.09391764</v>
      </c>
      <c r="O73" s="331">
        <v>0.09463492645833332</v>
      </c>
      <c r="P73" s="331"/>
      <c r="Q73" s="331">
        <v>29.4879425059955</v>
      </c>
      <c r="R73" s="331">
        <v>27.896330879397134</v>
      </c>
      <c r="S73" s="331">
        <v>20.87454017120993</v>
      </c>
      <c r="T73" s="331">
        <v>24.979963326666148</v>
      </c>
      <c r="U73" s="331"/>
      <c r="V73" s="331">
        <v>35.65425818181818</v>
      </c>
      <c r="W73" s="331">
        <v>34.15186909090909</v>
      </c>
      <c r="X73" s="331">
        <v>34.41270053030303</v>
      </c>
      <c r="Y73" s="33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297"/>
      <c r="AL73" s="297"/>
      <c r="AM73" s="297"/>
      <c r="AN73" s="297"/>
      <c r="AO73" s="297"/>
      <c r="AP73" s="297"/>
      <c r="AQ73" s="297"/>
      <c r="AR73" s="297"/>
      <c r="AS73" s="297"/>
      <c r="AT73" s="297"/>
      <c r="AU73" s="297"/>
      <c r="AV73" s="297"/>
      <c r="AW73" s="297"/>
      <c r="AX73" s="297"/>
      <c r="AY73" s="297"/>
      <c r="AZ73" s="297"/>
      <c r="BA73" s="297"/>
      <c r="BB73" s="297"/>
    </row>
    <row r="74" spans="1:54" ht="12.75">
      <c r="A74" s="297"/>
      <c r="B74" s="1341"/>
      <c r="C74" s="307" t="s">
        <v>112</v>
      </c>
      <c r="D74" s="307">
        <v>40725</v>
      </c>
      <c r="E74" s="311">
        <v>0.05598652726443195</v>
      </c>
      <c r="F74" s="311">
        <v>2.738</v>
      </c>
      <c r="G74" s="311">
        <v>0.020447964669259296</v>
      </c>
      <c r="H74" s="311"/>
      <c r="I74" s="311">
        <v>34.54493143099507</v>
      </c>
      <c r="J74" s="311">
        <v>20.447964669259296</v>
      </c>
      <c r="K74" s="331"/>
      <c r="L74" s="331">
        <v>20.541565327215988</v>
      </c>
      <c r="M74" s="331">
        <v>0.09804921</v>
      </c>
      <c r="N74" s="331">
        <v>0.09391764</v>
      </c>
      <c r="O74" s="331">
        <v>0.0945840222580645</v>
      </c>
      <c r="P74" s="331"/>
      <c r="Q74" s="331">
        <v>25.96211829393523</v>
      </c>
      <c r="R74" s="331">
        <v>22.35644241253015</v>
      </c>
      <c r="S74" s="331">
        <v>14.691854892797782</v>
      </c>
      <c r="T74" s="331">
        <v>19.225183984121603</v>
      </c>
      <c r="U74" s="331"/>
      <c r="V74" s="331">
        <v>35.810522279035794</v>
      </c>
      <c r="W74" s="331">
        <v>34.30154857560263</v>
      </c>
      <c r="X74" s="331">
        <v>34.54493143099507</v>
      </c>
      <c r="Y74" s="33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7"/>
      <c r="AL74" s="297"/>
      <c r="AM74" s="297"/>
      <c r="AN74" s="297"/>
      <c r="AO74" s="297"/>
      <c r="AP74" s="297"/>
      <c r="AQ74" s="297"/>
      <c r="AR74" s="297"/>
      <c r="AS74" s="297"/>
      <c r="AT74" s="297"/>
      <c r="AU74" s="297"/>
      <c r="AV74" s="297"/>
      <c r="AW74" s="297"/>
      <c r="AX74" s="297"/>
      <c r="AY74" s="297"/>
      <c r="AZ74" s="297"/>
      <c r="BA74" s="297"/>
      <c r="BB74" s="297"/>
    </row>
    <row r="75" spans="1:54" ht="12.75">
      <c r="A75" s="297"/>
      <c r="B75" s="1341"/>
      <c r="C75" s="307" t="s">
        <v>113</v>
      </c>
      <c r="D75" s="307"/>
      <c r="E75" s="311">
        <v>0.08593792412650697</v>
      </c>
      <c r="F75" s="311">
        <v>2.727</v>
      </c>
      <c r="G75" s="311">
        <v>0.03151372355207443</v>
      </c>
      <c r="H75" s="311"/>
      <c r="I75" s="311">
        <v>34.70464030542839</v>
      </c>
      <c r="J75" s="311">
        <v>31.513723552074428</v>
      </c>
      <c r="K75" s="331"/>
      <c r="L75" s="331">
        <v>21.949221133480982</v>
      </c>
      <c r="M75" s="331">
        <v>0.09804921</v>
      </c>
      <c r="N75" s="331">
        <v>0.09391764</v>
      </c>
      <c r="O75" s="331">
        <v>0.09463955411290323</v>
      </c>
      <c r="P75" s="331"/>
      <c r="Q75" s="331">
        <v>39.0457897747572</v>
      </c>
      <c r="R75" s="331">
        <v>35.54196819503658</v>
      </c>
      <c r="S75" s="331">
        <v>21.440079203036973</v>
      </c>
      <c r="T75" s="331">
        <v>29.695650583857375</v>
      </c>
      <c r="U75" s="331"/>
      <c r="V75" s="331">
        <v>35.95497249724973</v>
      </c>
      <c r="W75" s="331">
        <v>34.43991199119912</v>
      </c>
      <c r="X75" s="331">
        <v>34.70464030542839</v>
      </c>
      <c r="Y75" s="337"/>
      <c r="Z75" s="297"/>
      <c r="AA75" s="297"/>
      <c r="AB75" s="297"/>
      <c r="AC75" s="297"/>
      <c r="AD75" s="297"/>
      <c r="AE75" s="297"/>
      <c r="AF75" s="297"/>
      <c r="AG75" s="297"/>
      <c r="AH75" s="297"/>
      <c r="AI75" s="297"/>
      <c r="AJ75" s="297"/>
      <c r="AK75" s="297"/>
      <c r="AL75" s="297"/>
      <c r="AM75" s="297"/>
      <c r="AN75" s="297"/>
      <c r="AO75" s="297"/>
      <c r="AP75" s="297"/>
      <c r="AQ75" s="297"/>
      <c r="AR75" s="297"/>
      <c r="AS75" s="297"/>
      <c r="AT75" s="297"/>
      <c r="AU75" s="297"/>
      <c r="AV75" s="297"/>
      <c r="AW75" s="297"/>
      <c r="AX75" s="297"/>
      <c r="AY75" s="297"/>
      <c r="AZ75" s="297"/>
      <c r="BA75" s="297"/>
      <c r="BB75" s="297"/>
    </row>
    <row r="76" spans="1:54" ht="12.75">
      <c r="A76" s="297"/>
      <c r="B76" s="1341"/>
      <c r="C76" s="307" t="s">
        <v>114</v>
      </c>
      <c r="D76" s="307">
        <v>40787</v>
      </c>
      <c r="E76" s="311">
        <v>0.09324344841506312</v>
      </c>
      <c r="F76" s="311">
        <v>2.773</v>
      </c>
      <c r="G76" s="311">
        <v>0.033625477250293224</v>
      </c>
      <c r="H76" s="311"/>
      <c r="I76" s="311">
        <v>34.137619154946506</v>
      </c>
      <c r="J76" s="311">
        <v>33.62547725029322</v>
      </c>
      <c r="K76" s="331"/>
      <c r="L76" s="331">
        <v>23.246452269240557</v>
      </c>
      <c r="M76" s="331">
        <v>0.09804921</v>
      </c>
      <c r="N76" s="331">
        <v>0.09391764</v>
      </c>
      <c r="O76" s="331">
        <v>0.09466361791666666</v>
      </c>
      <c r="P76" s="331"/>
      <c r="Q76" s="331">
        <v>44.283733536517715</v>
      </c>
      <c r="R76" s="331">
        <v>38.45217001824838</v>
      </c>
      <c r="S76" s="331">
        <v>20.45692858973491</v>
      </c>
      <c r="T76" s="331">
        <v>30.930430392347482</v>
      </c>
      <c r="U76" s="331"/>
      <c r="V76" s="331">
        <v>35.35853227551388</v>
      </c>
      <c r="W76" s="331">
        <v>33.86860439956725</v>
      </c>
      <c r="X76" s="331">
        <v>34.137619154946506</v>
      </c>
      <c r="Y76" s="337"/>
      <c r="Z76" s="297"/>
      <c r="AA76" s="297"/>
      <c r="AB76" s="297"/>
      <c r="AC76" s="297"/>
      <c r="AD76" s="297"/>
      <c r="AE76" s="297"/>
      <c r="AF76" s="297"/>
      <c r="AG76" s="297"/>
      <c r="AH76" s="297"/>
      <c r="AI76" s="297"/>
      <c r="AJ76" s="297"/>
      <c r="AK76" s="297"/>
      <c r="AL76" s="297"/>
      <c r="AM76" s="297"/>
      <c r="AN76" s="297"/>
      <c r="AO76" s="297"/>
      <c r="AP76" s="297"/>
      <c r="AQ76" s="297"/>
      <c r="AR76" s="297"/>
      <c r="AS76" s="297"/>
      <c r="AT76" s="297"/>
      <c r="AU76" s="297"/>
      <c r="AV76" s="297"/>
      <c r="AW76" s="297"/>
      <c r="AX76" s="297"/>
      <c r="AY76" s="297"/>
      <c r="AZ76" s="297"/>
      <c r="BA76" s="297"/>
      <c r="BB76" s="297"/>
    </row>
    <row r="77" spans="1:54" ht="12.75">
      <c r="A77" s="297"/>
      <c r="B77" s="1341"/>
      <c r="C77" s="307" t="s">
        <v>115</v>
      </c>
      <c r="D77" s="307"/>
      <c r="E77" s="311">
        <v>0.07328301115144023</v>
      </c>
      <c r="F77" s="311">
        <v>2.708</v>
      </c>
      <c r="G77" s="311">
        <v>0.027061673246469804</v>
      </c>
      <c r="H77" s="311"/>
      <c r="I77" s="311">
        <v>34.94813667389336</v>
      </c>
      <c r="J77" s="311">
        <v>27.061673246469805</v>
      </c>
      <c r="K77" s="331"/>
      <c r="L77" s="331">
        <v>23.641143742409056</v>
      </c>
      <c r="M77" s="331">
        <v>0.09804921</v>
      </c>
      <c r="N77" s="331">
        <v>0.09391764</v>
      </c>
      <c r="O77" s="331">
        <v>0.09463955411290323</v>
      </c>
      <c r="P77" s="331"/>
      <c r="Q77" s="331">
        <v>37.049424417334315</v>
      </c>
      <c r="R77" s="331">
        <v>30.512559528340798</v>
      </c>
      <c r="S77" s="331">
        <v>16.53071601275428</v>
      </c>
      <c r="T77" s="331">
        <v>24.749581216667362</v>
      </c>
      <c r="U77" s="331"/>
      <c r="V77" s="331">
        <v>36.207241506646966</v>
      </c>
      <c r="W77" s="331">
        <v>34.681550960118166</v>
      </c>
      <c r="X77" s="331">
        <v>34.948136673893366</v>
      </c>
      <c r="Y77" s="337"/>
      <c r="Z77" s="297"/>
      <c r="AA77" s="297"/>
      <c r="AB77" s="297"/>
      <c r="AC77" s="297"/>
      <c r="AD77" s="297"/>
      <c r="AE77" s="297"/>
      <c r="AF77" s="297"/>
      <c r="AG77" s="297"/>
      <c r="AH77" s="297"/>
      <c r="AI77" s="297"/>
      <c r="AJ77" s="297"/>
      <c r="AK77" s="297"/>
      <c r="AL77" s="297"/>
      <c r="AM77" s="297"/>
      <c r="AN77" s="297"/>
      <c r="AO77" s="297"/>
      <c r="AP77" s="297"/>
      <c r="AQ77" s="297"/>
      <c r="AR77" s="297"/>
      <c r="AS77" s="297"/>
      <c r="AT77" s="297"/>
      <c r="AU77" s="297"/>
      <c r="AV77" s="297"/>
      <c r="AW77" s="297"/>
      <c r="AX77" s="297"/>
      <c r="AY77" s="297"/>
      <c r="AZ77" s="297"/>
      <c r="BA77" s="297"/>
      <c r="BB77" s="297"/>
    </row>
    <row r="78" spans="1:54" ht="12.75">
      <c r="A78" s="297"/>
      <c r="B78" s="1341"/>
      <c r="C78" s="307" t="s">
        <v>116</v>
      </c>
      <c r="D78" s="307">
        <v>40848</v>
      </c>
      <c r="E78" s="311">
        <v>0.07715657660783898</v>
      </c>
      <c r="F78" s="311">
        <v>2.7</v>
      </c>
      <c r="G78" s="311">
        <v>0.028576509854755176</v>
      </c>
      <c r="H78" s="311"/>
      <c r="I78" s="311">
        <v>35.049972762345675</v>
      </c>
      <c r="J78" s="311">
        <v>28.576509854755177</v>
      </c>
      <c r="K78" s="331"/>
      <c r="L78" s="331">
        <v>23.876667417638043</v>
      </c>
      <c r="M78" s="331">
        <v>0.09804921</v>
      </c>
      <c r="N78" s="331">
        <v>0.09391764</v>
      </c>
      <c r="O78" s="331">
        <v>0.09463492645833332</v>
      </c>
      <c r="P78" s="331"/>
      <c r="Q78" s="331">
        <v>35.84532441039007</v>
      </c>
      <c r="R78" s="331">
        <v>33.92667661110453</v>
      </c>
      <c r="S78" s="331">
        <v>16.81971458324836</v>
      </c>
      <c r="T78" s="331">
        <v>26.83151352277337</v>
      </c>
      <c r="U78" s="331"/>
      <c r="V78" s="331">
        <v>36.31452222222222</v>
      </c>
      <c r="W78" s="331">
        <v>34.7843111111111</v>
      </c>
      <c r="X78" s="331">
        <v>35.049972762345675</v>
      </c>
      <c r="Y78" s="337"/>
      <c r="Z78" s="297"/>
      <c r="AA78" s="297"/>
      <c r="AB78" s="297"/>
      <c r="AC78" s="297"/>
      <c r="AD78" s="297"/>
      <c r="AE78" s="297"/>
      <c r="AF78" s="297"/>
      <c r="AG78" s="297"/>
      <c r="AH78" s="297"/>
      <c r="AI78" s="297"/>
      <c r="AJ78" s="297"/>
      <c r="AK78" s="297"/>
      <c r="AL78" s="297"/>
      <c r="AM78" s="297"/>
      <c r="AN78" s="297"/>
      <c r="AO78" s="297"/>
      <c r="AP78" s="297"/>
      <c r="AQ78" s="297"/>
      <c r="AR78" s="297"/>
      <c r="AS78" s="297"/>
      <c r="AT78" s="297"/>
      <c r="AU78" s="297"/>
      <c r="AV78" s="297"/>
      <c r="AW78" s="297"/>
      <c r="AX78" s="297"/>
      <c r="AY78" s="297"/>
      <c r="AZ78" s="297"/>
      <c r="BA78" s="297"/>
      <c r="BB78" s="297"/>
    </row>
    <row r="79" spans="1:54" ht="13.5" thickBot="1">
      <c r="A79" s="297"/>
      <c r="B79" s="1342"/>
      <c r="C79" s="329" t="s">
        <v>117</v>
      </c>
      <c r="D79" s="329"/>
      <c r="E79" s="330">
        <v>0.058180072108915355</v>
      </c>
      <c r="F79" s="330">
        <v>2.697</v>
      </c>
      <c r="G79" s="330">
        <v>0.021572143903935987</v>
      </c>
      <c r="H79" s="330"/>
      <c r="I79" s="330">
        <v>35.07008611719114</v>
      </c>
      <c r="J79" s="330">
        <v>21.572143903935988</v>
      </c>
      <c r="K79" s="331"/>
      <c r="L79" s="331">
        <v>23.876667417638043</v>
      </c>
      <c r="M79" s="331">
        <v>0.09804921</v>
      </c>
      <c r="N79" s="331">
        <v>0.09391764</v>
      </c>
      <c r="O79" s="331">
        <v>0.0945840222580645</v>
      </c>
      <c r="P79" s="331"/>
      <c r="Q79" s="331">
        <v>34.555815771047776</v>
      </c>
      <c r="R79" s="331">
        <v>24.495942841441536</v>
      </c>
      <c r="S79" s="331">
        <v>9.928082982004973</v>
      </c>
      <c r="T79" s="331">
        <v>18.43223392759859</v>
      </c>
      <c r="U79" s="331"/>
      <c r="V79" s="331">
        <v>36.35491657397108</v>
      </c>
      <c r="W79" s="331">
        <v>34.82300333704116</v>
      </c>
      <c r="X79" s="331">
        <v>35.07008611719114</v>
      </c>
      <c r="Y79" s="337"/>
      <c r="Z79" s="297"/>
      <c r="AA79" s="297"/>
      <c r="AB79" s="297"/>
      <c r="AC79" s="297"/>
      <c r="AD79" s="297"/>
      <c r="AE79" s="297"/>
      <c r="AF79" s="297"/>
      <c r="AG79" s="297"/>
      <c r="AH79" s="297"/>
      <c r="AI79" s="297"/>
      <c r="AJ79" s="297"/>
      <c r="AK79" s="297"/>
      <c r="AL79" s="297"/>
      <c r="AM79" s="297"/>
      <c r="AN79" s="297"/>
      <c r="AO79" s="297"/>
      <c r="AP79" s="297"/>
      <c r="AQ79" s="297"/>
      <c r="AR79" s="297"/>
      <c r="AS79" s="297"/>
      <c r="AT79" s="297"/>
      <c r="AU79" s="297"/>
      <c r="AV79" s="297"/>
      <c r="AW79" s="297"/>
      <c r="AX79" s="297"/>
      <c r="AY79" s="297"/>
      <c r="AZ79" s="297"/>
      <c r="BA79" s="297"/>
      <c r="BB79" s="297"/>
    </row>
    <row r="80" spans="1:54" ht="12.75">
      <c r="A80" s="297"/>
      <c r="B80" s="1340">
        <v>2012</v>
      </c>
      <c r="C80" s="334" t="s">
        <v>99</v>
      </c>
      <c r="D80" s="334">
        <v>40909</v>
      </c>
      <c r="E80" s="341">
        <v>0.05630514747037326</v>
      </c>
      <c r="F80" s="342">
        <v>2.691</v>
      </c>
      <c r="G80" s="341">
        <v>0.02092350333347204</v>
      </c>
      <c r="H80" s="343"/>
      <c r="I80" s="341">
        <v>35.15859835952578</v>
      </c>
      <c r="J80" s="349">
        <v>20.92350333347204</v>
      </c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7"/>
      <c r="Z80" s="297"/>
      <c r="AA80" s="297"/>
      <c r="AB80" s="297"/>
      <c r="AC80" s="297"/>
      <c r="AD80" s="297"/>
      <c r="AE80" s="297"/>
      <c r="AF80" s="297"/>
      <c r="AG80" s="297"/>
      <c r="AH80" s="297"/>
      <c r="AI80" s="297"/>
      <c r="AJ80" s="297"/>
      <c r="AK80" s="297"/>
      <c r="AL80" s="297"/>
      <c r="AM80" s="297"/>
      <c r="AN80" s="297"/>
      <c r="AO80" s="297"/>
      <c r="AP80" s="297"/>
      <c r="AQ80" s="297"/>
      <c r="AR80" s="297"/>
      <c r="AS80" s="297"/>
      <c r="AT80" s="297"/>
      <c r="AU80" s="297"/>
      <c r="AV80" s="297"/>
      <c r="AW80" s="297"/>
      <c r="AX80" s="297"/>
      <c r="AY80" s="297"/>
      <c r="AZ80" s="297"/>
      <c r="BA80" s="297"/>
      <c r="BB80" s="297"/>
    </row>
    <row r="81" spans="1:54" ht="12.75">
      <c r="A81" s="297"/>
      <c r="B81" s="1341"/>
      <c r="C81" s="307" t="s">
        <v>104</v>
      </c>
      <c r="D81" s="307"/>
      <c r="E81" s="308">
        <v>0.06234703677540768</v>
      </c>
      <c r="F81" s="309">
        <v>2.678</v>
      </c>
      <c r="G81" s="308">
        <v>0.023281193717478596</v>
      </c>
      <c r="H81" s="310"/>
      <c r="I81" s="308">
        <v>35.347147301769205</v>
      </c>
      <c r="J81" s="312">
        <v>23.281193717478597</v>
      </c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337"/>
      <c r="Z81" s="297"/>
      <c r="AA81" s="297"/>
      <c r="AB81" s="297"/>
      <c r="AC81" s="297"/>
      <c r="AD81" s="297"/>
      <c r="AE81" s="297"/>
      <c r="AF81" s="297"/>
      <c r="AG81" s="297"/>
      <c r="AH81" s="297"/>
      <c r="AI81" s="297"/>
      <c r="AJ81" s="297"/>
      <c r="AK81" s="297"/>
      <c r="AL81" s="297"/>
      <c r="AM81" s="297"/>
      <c r="AN81" s="297"/>
      <c r="AO81" s="297"/>
      <c r="AP81" s="297"/>
      <c r="AQ81" s="297"/>
      <c r="AR81" s="297"/>
      <c r="AS81" s="297"/>
      <c r="AT81" s="297"/>
      <c r="AU81" s="297"/>
      <c r="AV81" s="297"/>
      <c r="AW81" s="297"/>
      <c r="AX81" s="297"/>
      <c r="AY81" s="297"/>
      <c r="AZ81" s="297"/>
      <c r="BA81" s="297"/>
      <c r="BB81" s="297"/>
    </row>
    <row r="82" spans="1:54" ht="12.75">
      <c r="A82" s="297"/>
      <c r="B82" s="1341"/>
      <c r="C82" s="307" t="s">
        <v>108</v>
      </c>
      <c r="D82" s="307">
        <v>40969</v>
      </c>
      <c r="E82" s="308">
        <v>0.1018337995632124</v>
      </c>
      <c r="F82" s="309">
        <v>2.668</v>
      </c>
      <c r="G82" s="308">
        <v>0.03816859054093418</v>
      </c>
      <c r="H82" s="310"/>
      <c r="I82" s="308">
        <v>34.62244852036347</v>
      </c>
      <c r="J82" s="312">
        <v>38.16859054093418</v>
      </c>
      <c r="K82" s="297"/>
      <c r="L82" s="297"/>
      <c r="M82" s="337"/>
      <c r="N82" s="337"/>
      <c r="O82" s="337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297"/>
      <c r="AA82" s="297"/>
      <c r="AB82" s="297"/>
      <c r="AC82" s="297"/>
      <c r="AD82" s="297"/>
      <c r="AE82" s="297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7"/>
      <c r="AT82" s="297"/>
      <c r="AU82" s="297"/>
      <c r="AV82" s="297"/>
      <c r="AW82" s="297"/>
      <c r="AX82" s="297"/>
      <c r="AY82" s="297"/>
      <c r="AZ82" s="297"/>
      <c r="BA82" s="297"/>
      <c r="BB82" s="297"/>
    </row>
    <row r="83" spans="1:54" ht="12.75">
      <c r="A83" s="297"/>
      <c r="B83" s="1341"/>
      <c r="C83" s="307" t="s">
        <v>109</v>
      </c>
      <c r="D83" s="307"/>
      <c r="E83" s="308">
        <v>0.07045155727896091</v>
      </c>
      <c r="F83" s="309">
        <v>2.641</v>
      </c>
      <c r="G83" s="308">
        <v>0.02667609135894014</v>
      </c>
      <c r="H83" s="310"/>
      <c r="I83" s="308">
        <v>34.91061140900523</v>
      </c>
      <c r="J83" s="312">
        <v>26.67609135894014</v>
      </c>
      <c r="K83" s="297"/>
      <c r="L83" s="29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297"/>
      <c r="AA83" s="297"/>
      <c r="AB83" s="297"/>
      <c r="AC83" s="297"/>
      <c r="AD83" s="297"/>
      <c r="AE83" s="297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7"/>
      <c r="AT83" s="297"/>
      <c r="AU83" s="297"/>
      <c r="AV83" s="297"/>
      <c r="AW83" s="297"/>
      <c r="AX83" s="297"/>
      <c r="AY83" s="297"/>
      <c r="AZ83" s="297"/>
      <c r="BA83" s="297"/>
      <c r="BB83" s="297"/>
    </row>
    <row r="84" spans="1:54" ht="12.75">
      <c r="A84" s="297"/>
      <c r="B84" s="1341"/>
      <c r="C84" s="307" t="s">
        <v>110</v>
      </c>
      <c r="D84" s="307">
        <v>41030</v>
      </c>
      <c r="E84" s="308">
        <v>0.07364459881128668</v>
      </c>
      <c r="F84" s="309">
        <v>2.71</v>
      </c>
      <c r="G84" s="308">
        <v>0.027175128712651913</v>
      </c>
      <c r="H84" s="310"/>
      <c r="I84" s="308">
        <v>39.67506748428566</v>
      </c>
      <c r="J84" s="312">
        <v>27.17512871265191</v>
      </c>
      <c r="K84" s="297"/>
      <c r="L84" s="297"/>
      <c r="M84" s="350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7"/>
      <c r="AT84" s="297"/>
      <c r="AU84" s="297"/>
      <c r="AV84" s="297"/>
      <c r="AW84" s="297"/>
      <c r="AX84" s="297"/>
      <c r="AY84" s="297"/>
      <c r="AZ84" s="297"/>
      <c r="BA84" s="297"/>
      <c r="BB84" s="297"/>
    </row>
    <row r="85" spans="1:54" ht="12.75">
      <c r="A85" s="297"/>
      <c r="B85" s="1341"/>
      <c r="C85" s="307" t="s">
        <v>111</v>
      </c>
      <c r="D85" s="307"/>
      <c r="E85" s="311">
        <v>0.1215915931357178</v>
      </c>
      <c r="F85" s="311">
        <v>2.671</v>
      </c>
      <c r="G85" s="311">
        <v>0.04552287275766297</v>
      </c>
      <c r="H85" s="311"/>
      <c r="I85" s="311">
        <v>40.19873954823412</v>
      </c>
      <c r="J85" s="311">
        <v>45.522872757662974</v>
      </c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297"/>
      <c r="AQ85" s="297"/>
      <c r="AR85" s="297"/>
      <c r="AS85" s="297"/>
      <c r="AT85" s="297"/>
      <c r="AU85" s="297"/>
      <c r="AV85" s="297"/>
      <c r="AW85" s="297"/>
      <c r="AX85" s="297"/>
      <c r="AY85" s="297"/>
      <c r="AZ85" s="297"/>
      <c r="BA85" s="297"/>
      <c r="BB85" s="297"/>
    </row>
    <row r="86" spans="1:54" ht="12.75">
      <c r="A86" s="297"/>
      <c r="B86" s="1341"/>
      <c r="C86" s="307" t="s">
        <v>112</v>
      </c>
      <c r="D86" s="307">
        <v>41091</v>
      </c>
      <c r="E86" s="311">
        <v>0.1526105768280836</v>
      </c>
      <c r="F86" s="311">
        <v>2.629</v>
      </c>
      <c r="G86" s="311">
        <v>0.058048907123652946</v>
      </c>
      <c r="H86" s="311"/>
      <c r="I86" s="311">
        <v>40.79313856611737</v>
      </c>
      <c r="J86" s="311">
        <v>58.048907123652945</v>
      </c>
      <c r="K86" s="297"/>
      <c r="L86" s="297"/>
      <c r="M86" s="337"/>
      <c r="N86" s="297"/>
      <c r="O86" s="297"/>
      <c r="P86" s="297"/>
      <c r="Q86" s="297"/>
      <c r="R86" s="297"/>
      <c r="S86" s="297"/>
      <c r="T86" s="297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297"/>
      <c r="AF86" s="297"/>
      <c r="AG86" s="297"/>
      <c r="AH86" s="297"/>
      <c r="AI86" s="297"/>
      <c r="AJ86" s="297"/>
      <c r="AK86" s="297"/>
      <c r="AL86" s="297"/>
      <c r="AM86" s="297"/>
      <c r="AN86" s="297"/>
      <c r="AO86" s="297"/>
      <c r="AP86" s="297"/>
      <c r="AQ86" s="297"/>
      <c r="AR86" s="297"/>
      <c r="AS86" s="297"/>
      <c r="AT86" s="297"/>
      <c r="AU86" s="297"/>
      <c r="AV86" s="297"/>
      <c r="AW86" s="297"/>
      <c r="AX86" s="297"/>
      <c r="AY86" s="297"/>
      <c r="AZ86" s="297"/>
      <c r="BA86" s="297"/>
      <c r="BB86" s="297"/>
    </row>
    <row r="87" spans="1:54" ht="12.75">
      <c r="A87" s="297"/>
      <c r="B87" s="1341"/>
      <c r="C87" s="307" t="s">
        <v>113</v>
      </c>
      <c r="D87" s="307"/>
      <c r="E87" s="311">
        <v>0.09158806415284833</v>
      </c>
      <c r="F87" s="311">
        <v>2.61</v>
      </c>
      <c r="G87" s="311">
        <v>0.03509121231909898</v>
      </c>
      <c r="H87" s="311"/>
      <c r="I87" s="311">
        <v>41.142627610925715</v>
      </c>
      <c r="J87" s="311">
        <v>35.09121231909898</v>
      </c>
      <c r="K87" s="297"/>
      <c r="L87" s="297"/>
      <c r="M87" s="33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I87" s="297"/>
      <c r="AJ87" s="297"/>
      <c r="AK87" s="297"/>
      <c r="AL87" s="297"/>
      <c r="AM87" s="297"/>
      <c r="AN87" s="297"/>
      <c r="AO87" s="297"/>
      <c r="AP87" s="297"/>
      <c r="AQ87" s="297"/>
      <c r="AR87" s="297"/>
      <c r="AS87" s="297"/>
      <c r="AT87" s="297"/>
      <c r="AU87" s="297"/>
      <c r="AV87" s="297"/>
      <c r="AW87" s="297"/>
      <c r="AX87" s="297"/>
      <c r="AY87" s="297"/>
      <c r="AZ87" s="297"/>
      <c r="BA87" s="297"/>
      <c r="BB87" s="297"/>
    </row>
    <row r="88" spans="1:54" ht="12.75">
      <c r="A88" s="297"/>
      <c r="B88" s="1341"/>
      <c r="C88" s="307" t="s">
        <v>114</v>
      </c>
      <c r="D88" s="307">
        <v>41153</v>
      </c>
      <c r="E88" s="311">
        <v>0.09459059538402305</v>
      </c>
      <c r="F88" s="311">
        <v>2.598</v>
      </c>
      <c r="G88" s="311">
        <v>0.036409005151663995</v>
      </c>
      <c r="H88" s="311"/>
      <c r="I88" s="311">
        <v>41.35552989479087</v>
      </c>
      <c r="J88" s="311">
        <v>36.409005151664</v>
      </c>
      <c r="K88" s="297"/>
      <c r="L88" s="297"/>
      <c r="M88" s="33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7"/>
      <c r="AH88" s="297"/>
      <c r="AI88" s="297"/>
      <c r="AJ88" s="297"/>
      <c r="AK88" s="297"/>
      <c r="AL88" s="297"/>
      <c r="AM88" s="297"/>
      <c r="AN88" s="297"/>
      <c r="AO88" s="297"/>
      <c r="AP88" s="297"/>
      <c r="AQ88" s="297"/>
      <c r="AR88" s="297"/>
      <c r="AS88" s="297"/>
      <c r="AT88" s="297"/>
      <c r="AU88" s="297"/>
      <c r="AV88" s="297"/>
      <c r="AW88" s="297"/>
      <c r="AX88" s="297"/>
      <c r="AY88" s="297"/>
      <c r="AZ88" s="297"/>
      <c r="BA88" s="297"/>
      <c r="BB88" s="297"/>
    </row>
    <row r="89" spans="1:54" ht="12.75">
      <c r="A89" s="297"/>
      <c r="B89" s="1341"/>
      <c r="C89" s="307" t="s">
        <v>115</v>
      </c>
      <c r="D89" s="307"/>
      <c r="E89" s="311">
        <v>0.07454865464712501</v>
      </c>
      <c r="F89" s="311">
        <v>2.592</v>
      </c>
      <c r="G89" s="311">
        <v>0.028761055033613044</v>
      </c>
      <c r="H89" s="311"/>
      <c r="I89" s="311">
        <v>41.45126028806584</v>
      </c>
      <c r="J89" s="311">
        <v>28.761055033613044</v>
      </c>
      <c r="K89" s="297"/>
      <c r="L89" s="297"/>
      <c r="M89" s="33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7"/>
      <c r="AH89" s="297"/>
      <c r="AI89" s="297"/>
      <c r="AJ89" s="297"/>
      <c r="AK89" s="297"/>
      <c r="AL89" s="297"/>
      <c r="AM89" s="297"/>
      <c r="AN89" s="297"/>
      <c r="AO89" s="297"/>
      <c r="AP89" s="297"/>
      <c r="AQ89" s="297"/>
      <c r="AR89" s="297"/>
      <c r="AS89" s="297"/>
      <c r="AT89" s="297"/>
      <c r="AU89" s="297"/>
      <c r="AV89" s="297"/>
      <c r="AW89" s="297"/>
      <c r="AX89" s="297"/>
      <c r="AY89" s="297"/>
      <c r="AZ89" s="297"/>
      <c r="BA89" s="297"/>
      <c r="BB89" s="297"/>
    </row>
    <row r="90" spans="1:54" ht="12.75">
      <c r="A90" s="297"/>
      <c r="B90" s="1341"/>
      <c r="C90" s="307" t="s">
        <v>116</v>
      </c>
      <c r="D90" s="307">
        <v>41214</v>
      </c>
      <c r="E90" s="311">
        <v>0.0370089724415418</v>
      </c>
      <c r="F90" s="311">
        <v>2.579</v>
      </c>
      <c r="G90" s="311">
        <v>0.014350125025801394</v>
      </c>
      <c r="H90" s="311"/>
      <c r="I90" s="311">
        <v>41.493149799663954</v>
      </c>
      <c r="J90" s="311">
        <v>14.350125025801393</v>
      </c>
      <c r="K90" s="297"/>
      <c r="L90" s="297"/>
      <c r="M90" s="337"/>
      <c r="N90" s="297"/>
      <c r="O90" s="297"/>
      <c r="P90" s="297"/>
      <c r="Q90" s="297"/>
      <c r="R90" s="297"/>
      <c r="S90" s="297"/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7"/>
      <c r="AH90" s="297"/>
      <c r="AI90" s="297"/>
      <c r="AJ90" s="297"/>
      <c r="AK90" s="297"/>
      <c r="AL90" s="297"/>
      <c r="AM90" s="297"/>
      <c r="AN90" s="297"/>
      <c r="AO90" s="297"/>
      <c r="AP90" s="297"/>
      <c r="AQ90" s="297"/>
      <c r="AR90" s="297"/>
      <c r="AS90" s="297"/>
      <c r="AT90" s="297"/>
      <c r="AU90" s="297"/>
      <c r="AV90" s="297"/>
      <c r="AW90" s="297"/>
      <c r="AX90" s="297"/>
      <c r="AY90" s="297"/>
      <c r="AZ90" s="297"/>
      <c r="BA90" s="297"/>
      <c r="BB90" s="297"/>
    </row>
    <row r="91" spans="1:54" ht="13.5" thickBot="1">
      <c r="A91" s="297"/>
      <c r="B91" s="1342"/>
      <c r="C91" s="329" t="s">
        <v>117</v>
      </c>
      <c r="D91" s="329"/>
      <c r="E91" s="330">
        <v>0.03507716472062293</v>
      </c>
      <c r="F91" s="330">
        <v>2.551</v>
      </c>
      <c r="G91" s="330">
        <v>0.013750358573352774</v>
      </c>
      <c r="H91" s="330"/>
      <c r="I91" s="330">
        <v>41.883638294912814</v>
      </c>
      <c r="J91" s="330">
        <v>13.750358573352774</v>
      </c>
      <c r="K91" s="297"/>
      <c r="L91" s="297"/>
      <c r="M91" s="337"/>
      <c r="N91" s="297"/>
      <c r="O91" s="297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7"/>
      <c r="AH91" s="297"/>
      <c r="AI91" s="297"/>
      <c r="AJ91" s="297"/>
      <c r="AK91" s="297"/>
      <c r="AL91" s="297"/>
      <c r="AM91" s="297"/>
      <c r="AN91" s="297"/>
      <c r="AO91" s="297"/>
      <c r="AP91" s="297"/>
      <c r="AQ91" s="297"/>
      <c r="AR91" s="297"/>
      <c r="AS91" s="297"/>
      <c r="AT91" s="297"/>
      <c r="AU91" s="297"/>
      <c r="AV91" s="297"/>
      <c r="AW91" s="297"/>
      <c r="AX91" s="297"/>
      <c r="AY91" s="297"/>
      <c r="AZ91" s="297"/>
      <c r="BA91" s="297"/>
      <c r="BB91" s="297"/>
    </row>
    <row r="92" spans="1:54" ht="12.75">
      <c r="A92" s="297"/>
      <c r="B92" s="1340">
        <v>2013</v>
      </c>
      <c r="C92" s="334" t="s">
        <v>99</v>
      </c>
      <c r="D92" s="334">
        <v>41275</v>
      </c>
      <c r="E92" s="341">
        <v>0.049880248244637146</v>
      </c>
      <c r="F92" s="342">
        <v>2.578</v>
      </c>
      <c r="G92" s="341">
        <v>0.01934842833383908</v>
      </c>
      <c r="H92" s="343"/>
      <c r="I92" s="341">
        <v>41.47157086013164</v>
      </c>
      <c r="J92" s="349">
        <v>19.348428333839077</v>
      </c>
      <c r="K92" s="297"/>
      <c r="L92" s="297"/>
      <c r="M92" s="337"/>
      <c r="N92" s="297"/>
      <c r="O92" s="297"/>
      <c r="P92" s="297"/>
      <c r="Q92" s="297"/>
      <c r="R92" s="297"/>
      <c r="S92" s="297"/>
      <c r="T92" s="297"/>
      <c r="U92" s="297"/>
      <c r="V92" s="351"/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7"/>
      <c r="AH92" s="297"/>
      <c r="AI92" s="297"/>
      <c r="AJ92" s="297"/>
      <c r="AK92" s="297"/>
      <c r="AL92" s="297"/>
      <c r="AM92" s="297"/>
      <c r="AN92" s="297"/>
      <c r="AO92" s="297"/>
      <c r="AP92" s="297"/>
      <c r="AQ92" s="297"/>
      <c r="AR92" s="297"/>
      <c r="AS92" s="297"/>
      <c r="AT92" s="297"/>
      <c r="AU92" s="297"/>
      <c r="AV92" s="297"/>
      <c r="AW92" s="297"/>
      <c r="AX92" s="297"/>
      <c r="AY92" s="297"/>
      <c r="AZ92" s="297"/>
      <c r="BA92" s="297"/>
      <c r="BB92" s="297"/>
    </row>
    <row r="93" spans="1:54" ht="12.75">
      <c r="A93" s="297"/>
      <c r="B93" s="1341"/>
      <c r="C93" s="307" t="s">
        <v>104</v>
      </c>
      <c r="D93" s="307"/>
      <c r="E93" s="308">
        <v>0.08124579521412374</v>
      </c>
      <c r="F93" s="309">
        <v>2.587</v>
      </c>
      <c r="G93" s="308">
        <v>0.031405409823781885</v>
      </c>
      <c r="H93" s="310"/>
      <c r="I93" s="308">
        <v>41.67955160417471</v>
      </c>
      <c r="J93" s="312">
        <v>31.405409823781884</v>
      </c>
      <c r="K93" s="297"/>
      <c r="L93" s="297"/>
      <c r="M93" s="337"/>
      <c r="N93" s="297"/>
      <c r="O93" s="297"/>
      <c r="P93" s="297"/>
      <c r="Q93" s="297"/>
      <c r="R93" s="297"/>
      <c r="S93" s="297"/>
      <c r="T93" s="297"/>
      <c r="U93" s="297"/>
      <c r="V93" s="351"/>
      <c r="W93" s="297"/>
      <c r="X93" s="297"/>
      <c r="Y93" s="297"/>
      <c r="Z93" s="297"/>
      <c r="AA93" s="297"/>
      <c r="AB93" s="297"/>
      <c r="AC93" s="297"/>
      <c r="AD93" s="297"/>
      <c r="AE93" s="297"/>
      <c r="AF93" s="297"/>
      <c r="AG93" s="297"/>
      <c r="AH93" s="297"/>
      <c r="AI93" s="297"/>
      <c r="AJ93" s="297"/>
      <c r="AK93" s="297"/>
      <c r="AL93" s="297"/>
      <c r="AM93" s="297"/>
      <c r="AN93" s="297"/>
      <c r="AO93" s="297"/>
      <c r="AP93" s="297"/>
      <c r="AQ93" s="297"/>
      <c r="AR93" s="297"/>
      <c r="AS93" s="297"/>
      <c r="AT93" s="297"/>
      <c r="AU93" s="297"/>
      <c r="AV93" s="297"/>
      <c r="AW93" s="297"/>
      <c r="AX93" s="297"/>
      <c r="AY93" s="297"/>
      <c r="AZ93" s="297"/>
      <c r="BA93" s="297"/>
      <c r="BB93" s="297"/>
    </row>
    <row r="94" spans="1:54" ht="12.75">
      <c r="A94" s="297"/>
      <c r="B94" s="1341"/>
      <c r="C94" s="307" t="s">
        <v>108</v>
      </c>
      <c r="D94" s="307">
        <v>41334</v>
      </c>
      <c r="E94" s="308">
        <v>0.05104899238607211</v>
      </c>
      <c r="F94" s="309">
        <v>2.589</v>
      </c>
      <c r="G94" s="308">
        <v>0.019717648662059526</v>
      </c>
      <c r="H94" s="310"/>
      <c r="I94" s="308">
        <v>41.6959468720019</v>
      </c>
      <c r="J94" s="312">
        <v>19.717648662059528</v>
      </c>
      <c r="K94" s="297"/>
      <c r="L94" s="297"/>
      <c r="M94" s="337"/>
      <c r="N94" s="297"/>
      <c r="O94" s="297"/>
      <c r="P94" s="297"/>
      <c r="Q94" s="297"/>
      <c r="R94" s="297"/>
      <c r="S94" s="297"/>
      <c r="T94" s="297"/>
      <c r="U94" s="297"/>
      <c r="V94" s="297"/>
      <c r="W94" s="297"/>
      <c r="X94" s="297"/>
      <c r="Y94" s="297"/>
      <c r="Z94" s="297"/>
      <c r="AA94" s="297"/>
      <c r="AB94" s="297"/>
      <c r="AC94" s="297"/>
      <c r="AD94" s="297"/>
      <c r="AE94" s="297"/>
      <c r="AF94" s="297"/>
      <c r="AG94" s="297"/>
      <c r="AH94" s="297"/>
      <c r="AI94" s="297"/>
      <c r="AJ94" s="297"/>
      <c r="AK94" s="297"/>
      <c r="AL94" s="297"/>
      <c r="AM94" s="297"/>
      <c r="AN94" s="297"/>
      <c r="AO94" s="297"/>
      <c r="AP94" s="297"/>
      <c r="AQ94" s="297"/>
      <c r="AR94" s="297"/>
      <c r="AS94" s="297"/>
      <c r="AT94" s="297"/>
      <c r="AU94" s="297"/>
      <c r="AV94" s="297"/>
      <c r="AW94" s="297"/>
      <c r="AX94" s="297"/>
      <c r="AY94" s="297"/>
      <c r="AZ94" s="297"/>
      <c r="BA94" s="297"/>
      <c r="BB94" s="297"/>
    </row>
    <row r="95" spans="1:54" ht="12.75">
      <c r="A95" s="297"/>
      <c r="B95" s="1341"/>
      <c r="C95" s="307" t="s">
        <v>109</v>
      </c>
      <c r="D95" s="307"/>
      <c r="E95" s="308">
        <v>0.04970117937953785</v>
      </c>
      <c r="F95" s="309">
        <v>2.646</v>
      </c>
      <c r="G95" s="308">
        <v>0.01878351450473842</v>
      </c>
      <c r="H95" s="310"/>
      <c r="I95" s="308">
        <v>40.71397077349459</v>
      </c>
      <c r="J95" s="312">
        <v>18.78351450473842</v>
      </c>
      <c r="K95" s="297"/>
      <c r="L95" s="297"/>
      <c r="M95" s="33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297"/>
      <c r="AH95" s="297"/>
      <c r="AI95" s="297"/>
      <c r="AJ95" s="297"/>
      <c r="AK95" s="297"/>
      <c r="AL95" s="297"/>
      <c r="AM95" s="297"/>
      <c r="AN95" s="297"/>
      <c r="AO95" s="297"/>
      <c r="AP95" s="297"/>
      <c r="AQ95" s="297"/>
      <c r="AR95" s="297"/>
      <c r="AS95" s="297"/>
      <c r="AT95" s="297"/>
      <c r="AU95" s="297"/>
      <c r="AV95" s="297"/>
      <c r="AW95" s="297"/>
      <c r="AX95" s="297"/>
      <c r="AY95" s="297"/>
      <c r="AZ95" s="297"/>
      <c r="BA95" s="297"/>
      <c r="BB95" s="297"/>
    </row>
    <row r="96" spans="2:10" ht="12.75">
      <c r="B96" s="1341"/>
      <c r="C96" s="307" t="s">
        <v>110</v>
      </c>
      <c r="D96" s="307">
        <v>41395</v>
      </c>
      <c r="E96" s="308">
        <v>0.07420813416563955</v>
      </c>
      <c r="F96" s="309">
        <v>2.734</v>
      </c>
      <c r="G96" s="308">
        <v>0.027142697207622368</v>
      </c>
      <c r="H96" s="310"/>
      <c r="I96" s="308">
        <v>39.129913239099814</v>
      </c>
      <c r="J96" s="312">
        <v>27.14269720762237</v>
      </c>
    </row>
    <row r="97" spans="2:10" ht="12.75">
      <c r="B97" s="1341"/>
      <c r="C97" s="307" t="s">
        <v>111</v>
      </c>
      <c r="D97" s="307"/>
      <c r="E97" s="311">
        <v>0.07405515441278245</v>
      </c>
      <c r="F97" s="311">
        <v>2.783</v>
      </c>
      <c r="G97" s="311">
        <v>0.026609829109875117</v>
      </c>
      <c r="H97" s="311"/>
      <c r="I97" s="311">
        <v>40.16893240707469</v>
      </c>
      <c r="J97" s="311">
        <v>26.60982910987512</v>
      </c>
    </row>
    <row r="98" spans="2:10" ht="12.75">
      <c r="B98" s="1341"/>
      <c r="C98" s="307" t="s">
        <v>112</v>
      </c>
      <c r="D98" s="307">
        <v>41456</v>
      </c>
      <c r="E98" s="311">
        <v>0.12534090996277095</v>
      </c>
      <c r="F98" s="311">
        <v>2.794</v>
      </c>
      <c r="G98" s="311">
        <v>0.04486074085997528</v>
      </c>
      <c r="H98" s="311"/>
      <c r="I98" s="311">
        <v>40.119380238760485</v>
      </c>
      <c r="J98" s="311">
        <v>44.86074085997528</v>
      </c>
    </row>
    <row r="99" spans="2:10" ht="12.75">
      <c r="B99" s="1341"/>
      <c r="C99" s="307" t="s">
        <v>113</v>
      </c>
      <c r="D99" s="307"/>
      <c r="E99" s="311">
        <v>0.09751493662046144</v>
      </c>
      <c r="F99" s="311">
        <v>2.808</v>
      </c>
      <c r="G99" s="311">
        <v>0.03472754153150336</v>
      </c>
      <c r="H99" s="311"/>
      <c r="I99" s="311">
        <v>40.014130135097886</v>
      </c>
      <c r="J99" s="311">
        <v>34.72754153150336</v>
      </c>
    </row>
    <row r="100" spans="2:10" ht="12.75">
      <c r="B100" s="1341"/>
      <c r="C100" s="307" t="s">
        <v>114</v>
      </c>
      <c r="D100" s="307">
        <v>41518</v>
      </c>
      <c r="E100" s="311">
        <v>0.078640588622248</v>
      </c>
      <c r="F100" s="311">
        <v>2.782</v>
      </c>
      <c r="G100" s="311">
        <v>0.028267645083482385</v>
      </c>
      <c r="H100" s="311"/>
      <c r="I100" s="311">
        <v>40.42954708842559</v>
      </c>
      <c r="J100" s="311">
        <v>28.267645083482385</v>
      </c>
    </row>
    <row r="101" spans="2:10" ht="12.75">
      <c r="B101" s="1341"/>
      <c r="C101" s="307" t="s">
        <v>115</v>
      </c>
      <c r="D101" s="307"/>
      <c r="E101" s="311">
        <v>0.05386545570433131</v>
      </c>
      <c r="F101" s="311">
        <v>2.77</v>
      </c>
      <c r="G101" s="311">
        <v>0.019446012889650293</v>
      </c>
      <c r="H101" s="311"/>
      <c r="I101" s="311">
        <v>40.56306044020031</v>
      </c>
      <c r="J101" s="311">
        <v>19.446012889650294</v>
      </c>
    </row>
    <row r="102" spans="2:10" ht="12.75">
      <c r="B102" s="1341"/>
      <c r="C102" s="307" t="s">
        <v>116</v>
      </c>
      <c r="D102" s="307">
        <v>41579</v>
      </c>
      <c r="E102" s="311">
        <v>0.06444907461637855</v>
      </c>
      <c r="F102" s="311">
        <v>2.8</v>
      </c>
      <c r="G102" s="311">
        <v>0.023017526648706627</v>
      </c>
      <c r="H102" s="311"/>
      <c r="I102" s="311">
        <v>38.21815476190476</v>
      </c>
      <c r="J102" s="311">
        <v>23.017526648706628</v>
      </c>
    </row>
    <row r="103" spans="2:10" ht="13.5" thickBot="1">
      <c r="B103" s="1342"/>
      <c r="C103" s="329" t="s">
        <v>117</v>
      </c>
      <c r="D103" s="329"/>
      <c r="E103" s="330">
        <v>0.06961349486895878</v>
      </c>
      <c r="F103" s="330">
        <v>2.796</v>
      </c>
      <c r="G103" s="330">
        <v>0.024897530353704858</v>
      </c>
      <c r="H103" s="330"/>
      <c r="I103" s="330">
        <v>38.21357699940007</v>
      </c>
      <c r="J103" s="330">
        <v>24.89753035370486</v>
      </c>
    </row>
    <row r="104" spans="2:10" ht="12.75">
      <c r="B104" s="1340">
        <v>2014</v>
      </c>
      <c r="C104" s="334" t="s">
        <v>99</v>
      </c>
      <c r="D104" s="334">
        <v>41640</v>
      </c>
      <c r="E104" s="341">
        <v>0.06032239749941591</v>
      </c>
      <c r="F104" s="342">
        <v>2.822</v>
      </c>
      <c r="G104" s="341">
        <v>0.02137576098490996</v>
      </c>
      <c r="H104" s="343"/>
      <c r="I104" s="341">
        <v>39.79667124227866</v>
      </c>
      <c r="J104" s="349">
        <v>21.37576098490996</v>
      </c>
    </row>
    <row r="105" spans="2:10" ht="12.75">
      <c r="B105" s="1341"/>
      <c r="C105" s="307" t="s">
        <v>104</v>
      </c>
      <c r="D105" s="307"/>
      <c r="E105" s="308">
        <v>0.06717589164110925</v>
      </c>
      <c r="F105" s="309">
        <v>2.801</v>
      </c>
      <c r="G105" s="308">
        <v>0.023982824577332827</v>
      </c>
      <c r="H105" s="310"/>
      <c r="I105" s="308">
        <v>43.76403106632471</v>
      </c>
      <c r="J105" s="312">
        <v>23.982824577332828</v>
      </c>
    </row>
    <row r="106" spans="2:10" ht="12.75">
      <c r="B106" s="1341"/>
      <c r="C106" s="307" t="s">
        <v>108</v>
      </c>
      <c r="D106" s="307">
        <v>41699</v>
      </c>
      <c r="E106" s="308">
        <v>0.09638874887232056</v>
      </c>
      <c r="F106" s="309">
        <v>2.809</v>
      </c>
      <c r="G106" s="308">
        <v>0.03431425734151675</v>
      </c>
      <c r="H106" s="310"/>
      <c r="I106" s="308">
        <v>44.2348327380884</v>
      </c>
      <c r="J106" s="312">
        <v>34.31425734151675</v>
      </c>
    </row>
    <row r="107" spans="2:10" ht="12.75">
      <c r="B107" s="1341"/>
      <c r="C107" s="307" t="s">
        <v>109</v>
      </c>
      <c r="D107" s="307"/>
      <c r="E107" s="308">
        <v>0.07894395608085696</v>
      </c>
      <c r="F107" s="309">
        <v>2.809</v>
      </c>
      <c r="G107" s="308">
        <v>0.02810393594904128</v>
      </c>
      <c r="H107" s="310"/>
      <c r="I107" s="308">
        <v>44.06619595743839</v>
      </c>
      <c r="J107" s="312">
        <v>28.10393594904128</v>
      </c>
    </row>
    <row r="108" spans="2:10" ht="12.75">
      <c r="B108" s="1341"/>
      <c r="C108" s="307" t="s">
        <v>110</v>
      </c>
      <c r="D108" s="307">
        <v>41760</v>
      </c>
      <c r="E108" s="308">
        <v>0.07033689523465521</v>
      </c>
      <c r="F108" s="309">
        <v>2.767</v>
      </c>
      <c r="G108" s="308">
        <v>0.02541991154125595</v>
      </c>
      <c r="H108" s="310"/>
      <c r="I108" s="308">
        <v>40.77306107948581</v>
      </c>
      <c r="J108" s="312">
        <v>25.41991154125595</v>
      </c>
    </row>
    <row r="109" spans="2:10" ht="12.75">
      <c r="B109" s="1341"/>
      <c r="C109" s="307" t="s">
        <v>111</v>
      </c>
      <c r="D109" s="307"/>
      <c r="E109" s="311">
        <v>0.08657489379529175</v>
      </c>
      <c r="F109" s="311">
        <v>2.796</v>
      </c>
      <c r="G109" s="311">
        <v>0.03096383898257931</v>
      </c>
      <c r="H109" s="311"/>
      <c r="I109" s="311">
        <v>39.91292123668733</v>
      </c>
      <c r="J109" s="311">
        <v>30.96383898257931</v>
      </c>
    </row>
    <row r="110" spans="2:10" ht="12.75">
      <c r="B110" s="1341"/>
      <c r="C110" s="307" t="s">
        <v>112</v>
      </c>
      <c r="D110" s="307">
        <v>41821</v>
      </c>
      <c r="E110" s="311">
        <v>0.06967829950456485</v>
      </c>
      <c r="F110" s="311">
        <v>2.797</v>
      </c>
      <c r="G110" s="311">
        <v>0.024911798178249855</v>
      </c>
      <c r="H110" s="311"/>
      <c r="I110" s="311">
        <v>39.70423937941536</v>
      </c>
      <c r="J110" s="311">
        <v>24.911798178249853</v>
      </c>
    </row>
    <row r="111" spans="2:10" ht="12.75">
      <c r="B111" s="1341"/>
      <c r="C111" s="307" t="s">
        <v>113</v>
      </c>
      <c r="D111" s="307"/>
      <c r="E111" s="311">
        <v>0.07800586067570167</v>
      </c>
      <c r="F111" s="311">
        <v>2.845</v>
      </c>
      <c r="G111" s="311">
        <v>0.027418580202355596</v>
      </c>
      <c r="H111" s="311"/>
      <c r="I111" s="311">
        <v>39.23002059829545</v>
      </c>
      <c r="J111" s="311">
        <v>27.418580202355596</v>
      </c>
    </row>
    <row r="112" spans="2:10" ht="12.75">
      <c r="B112" s="1341"/>
      <c r="C112" s="307" t="s">
        <v>114</v>
      </c>
      <c r="D112" s="307">
        <v>41883</v>
      </c>
      <c r="E112" s="311">
        <v>0.06899393160254443</v>
      </c>
      <c r="F112" s="311">
        <v>2.892</v>
      </c>
      <c r="G112" s="311">
        <v>0.02385682282245658</v>
      </c>
      <c r="H112" s="311"/>
      <c r="I112" s="311">
        <v>38.615625480252035</v>
      </c>
      <c r="J112" s="311">
        <v>23.85682282245658</v>
      </c>
    </row>
    <row r="113" spans="2:10" ht="12.75">
      <c r="B113" s="1341"/>
      <c r="C113" s="307" t="s">
        <v>115</v>
      </c>
      <c r="D113" s="307"/>
      <c r="E113" s="311">
        <v>0.05253106405389369</v>
      </c>
      <c r="F113" s="311">
        <v>2.923</v>
      </c>
      <c r="G113" s="311">
        <v>0.01797162642965915</v>
      </c>
      <c r="H113" s="311"/>
      <c r="I113" s="311">
        <v>40.26040852691625</v>
      </c>
      <c r="J113" s="311">
        <v>17.97162642965915</v>
      </c>
    </row>
    <row r="114" spans="2:10" ht="12.75">
      <c r="B114" s="1341"/>
      <c r="C114" s="307" t="s">
        <v>116</v>
      </c>
      <c r="D114" s="307">
        <v>41944</v>
      </c>
      <c r="E114" s="311">
        <v>0.062255804521329554</v>
      </c>
      <c r="F114" s="311">
        <v>2.92</v>
      </c>
      <c r="G114" s="311">
        <v>0.021320481000455326</v>
      </c>
      <c r="H114" s="311"/>
      <c r="I114" s="311">
        <v>40.50366248097412</v>
      </c>
      <c r="J114" s="311">
        <v>21.320481000455324</v>
      </c>
    </row>
    <row r="115" spans="2:10" ht="13.5" thickBot="1">
      <c r="B115" s="1342"/>
      <c r="C115" s="329" t="s">
        <v>117</v>
      </c>
      <c r="D115" s="329"/>
      <c r="E115" s="330">
        <v>0.045317311299814665</v>
      </c>
      <c r="F115" s="330">
        <v>2.989</v>
      </c>
      <c r="G115" s="330">
        <v>0.01516136209428393</v>
      </c>
      <c r="H115" s="330"/>
      <c r="I115" s="330">
        <v>39.534206067408455</v>
      </c>
      <c r="J115" s="330">
        <v>15.1613620942839</v>
      </c>
    </row>
    <row r="116" spans="2:10" ht="12.75">
      <c r="B116" s="1340">
        <v>2015</v>
      </c>
      <c r="C116" s="334" t="s">
        <v>99</v>
      </c>
      <c r="D116" s="334">
        <v>42005</v>
      </c>
      <c r="E116" s="341">
        <v>0.04315512257953642</v>
      </c>
      <c r="F116" s="342">
        <v>3.058</v>
      </c>
      <c r="G116" s="341">
        <v>0.014112204898474959</v>
      </c>
      <c r="H116" s="343"/>
      <c r="I116" s="341">
        <v>38.668976841986826</v>
      </c>
      <c r="J116" s="349">
        <v>14.112204898474959</v>
      </c>
    </row>
    <row r="117" spans="2:10" ht="12.75">
      <c r="B117" s="1341"/>
      <c r="C117" s="307" t="s">
        <v>104</v>
      </c>
      <c r="D117" s="307"/>
      <c r="E117" s="308">
        <v>0.05021221396314381</v>
      </c>
      <c r="F117" s="309">
        <v>3.095</v>
      </c>
      <c r="G117" s="308">
        <v>0.016223655561597355</v>
      </c>
      <c r="H117" s="310"/>
      <c r="I117" s="308">
        <v>40.41916685898914</v>
      </c>
      <c r="J117" s="312">
        <v>16.223655561597354</v>
      </c>
    </row>
    <row r="118" spans="2:10" ht="12.75">
      <c r="B118" s="1341"/>
      <c r="C118" s="307" t="s">
        <v>108</v>
      </c>
      <c r="D118" s="307">
        <v>42064</v>
      </c>
      <c r="E118" s="308">
        <v>0.0528869671779548</v>
      </c>
      <c r="F118" s="309">
        <v>3.097</v>
      </c>
      <c r="G118" s="308">
        <v>0.017076837965112945</v>
      </c>
      <c r="H118" s="310"/>
      <c r="I118" s="308">
        <v>40.637401439478374</v>
      </c>
      <c r="J118" s="312">
        <v>17.076837965112944</v>
      </c>
    </row>
    <row r="119" spans="2:10" ht="12.75">
      <c r="B119" s="1341"/>
      <c r="C119" s="307" t="s">
        <v>109</v>
      </c>
      <c r="D119" s="307"/>
      <c r="E119" s="308">
        <v>0.04098191413110007</v>
      </c>
      <c r="F119" s="309">
        <v>3.127</v>
      </c>
      <c r="G119" s="308">
        <v>0.01310582479408381</v>
      </c>
      <c r="H119" s="310"/>
      <c r="I119" s="308">
        <v>40.214262871762074</v>
      </c>
      <c r="J119" s="312">
        <v>13.105824794083809</v>
      </c>
    </row>
    <row r="120" spans="2:10" ht="12.75">
      <c r="B120" s="1341"/>
      <c r="C120" s="307" t="s">
        <v>110</v>
      </c>
      <c r="D120" s="307">
        <v>42125</v>
      </c>
      <c r="E120" s="308">
        <v>0.046825972958504596</v>
      </c>
      <c r="F120" s="309">
        <v>3.158</v>
      </c>
      <c r="G120" s="308">
        <v>0.014827730512509373</v>
      </c>
      <c r="H120" s="310"/>
      <c r="I120" s="308">
        <v>40.92567434132124</v>
      </c>
      <c r="J120" s="312">
        <v>14.827730512509373</v>
      </c>
    </row>
    <row r="121" spans="2:10" ht="12.75">
      <c r="B121" s="1341"/>
      <c r="C121" s="307" t="s">
        <v>111</v>
      </c>
      <c r="D121" s="307"/>
      <c r="E121" s="311">
        <v>0.05377023672868653</v>
      </c>
      <c r="F121" s="311">
        <v>3.179</v>
      </c>
      <c r="G121" s="311">
        <v>0.016914198404745683</v>
      </c>
      <c r="H121" s="311"/>
      <c r="I121" s="311">
        <v>40.66836181888085</v>
      </c>
      <c r="J121" s="311">
        <v>16.914198404745683</v>
      </c>
    </row>
    <row r="122" spans="2:10" ht="12.75">
      <c r="B122" s="1341"/>
      <c r="C122" s="307" t="s">
        <v>112</v>
      </c>
      <c r="D122" s="307">
        <v>42186</v>
      </c>
      <c r="E122" s="311"/>
      <c r="F122" s="311"/>
      <c r="G122" s="311"/>
      <c r="H122" s="311"/>
      <c r="I122" s="311"/>
      <c r="J122" s="311"/>
    </row>
    <row r="123" spans="2:10" ht="12.75">
      <c r="B123" s="1341"/>
      <c r="C123" s="307" t="s">
        <v>113</v>
      </c>
      <c r="D123" s="307"/>
      <c r="E123" s="311"/>
      <c r="F123" s="311"/>
      <c r="G123" s="311"/>
      <c r="H123" s="311"/>
      <c r="I123" s="311"/>
      <c r="J123" s="311"/>
    </row>
    <row r="124" spans="2:10" ht="12.75">
      <c r="B124" s="1341"/>
      <c r="C124" s="307" t="s">
        <v>114</v>
      </c>
      <c r="D124" s="307">
        <v>42248</v>
      </c>
      <c r="E124" s="311"/>
      <c r="F124" s="311"/>
      <c r="G124" s="311"/>
      <c r="H124" s="311"/>
      <c r="I124" s="311"/>
      <c r="J124" s="311"/>
    </row>
    <row r="125" spans="2:10" ht="12.75">
      <c r="B125" s="1341"/>
      <c r="C125" s="307" t="s">
        <v>115</v>
      </c>
      <c r="D125" s="307"/>
      <c r="E125" s="311"/>
      <c r="F125" s="311"/>
      <c r="G125" s="311"/>
      <c r="H125" s="311"/>
      <c r="I125" s="311"/>
      <c r="J125" s="311"/>
    </row>
    <row r="126" spans="2:10" ht="12.75">
      <c r="B126" s="1341"/>
      <c r="C126" s="307" t="s">
        <v>116</v>
      </c>
      <c r="D126" s="307">
        <v>42309</v>
      </c>
      <c r="E126" s="311"/>
      <c r="F126" s="311"/>
      <c r="G126" s="311"/>
      <c r="H126" s="311"/>
      <c r="I126" s="311"/>
      <c r="J126" s="311"/>
    </row>
    <row r="127" spans="2:10" ht="13.5" thickBot="1">
      <c r="B127" s="1342"/>
      <c r="C127" s="329" t="s">
        <v>117</v>
      </c>
      <c r="D127" s="329"/>
      <c r="E127" s="330"/>
      <c r="F127" s="330"/>
      <c r="G127" s="330"/>
      <c r="H127" s="330"/>
      <c r="I127" s="330"/>
      <c r="J127" s="330"/>
    </row>
  </sheetData>
  <sheetProtection/>
  <mergeCells count="14">
    <mergeCell ref="C6:C7"/>
    <mergeCell ref="B92:B103"/>
    <mergeCell ref="F6:F7"/>
    <mergeCell ref="B8:B19"/>
    <mergeCell ref="AS16:AS17"/>
    <mergeCell ref="AV16:AW16"/>
    <mergeCell ref="B20:B31"/>
    <mergeCell ref="B32:B43"/>
    <mergeCell ref="B104:B115"/>
    <mergeCell ref="B116:B127"/>
    <mergeCell ref="B44:B55"/>
    <mergeCell ref="B56:B67"/>
    <mergeCell ref="B68:B79"/>
    <mergeCell ref="B80:B91"/>
  </mergeCells>
  <printOptions/>
  <pageMargins left="0.7" right="0.7" top="0.75" bottom="0.75" header="0.3" footer="0.3"/>
  <pageSetup horizontalDpi="1200" verticalDpi="12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79"/>
  <sheetViews>
    <sheetView view="pageBreakPreview" zoomScaleSheetLayoutView="100" zoomScalePageLayoutView="0" workbookViewId="0" topLeftCell="A1">
      <selection activeCell="R27" sqref="R27"/>
    </sheetView>
  </sheetViews>
  <sheetFormatPr defaultColWidth="11.421875" defaultRowHeight="12.75"/>
  <cols>
    <col min="1" max="1" width="5.7109375" style="352" customWidth="1"/>
    <col min="2" max="2" width="21.7109375" style="352" customWidth="1"/>
    <col min="3" max="3" width="11.8515625" style="352" customWidth="1"/>
    <col min="4" max="4" width="9.140625" style="352" bestFit="1" customWidth="1"/>
    <col min="5" max="6" width="8.57421875" style="352" customWidth="1"/>
    <col min="7" max="7" width="8.00390625" style="352" customWidth="1"/>
    <col min="8" max="8" width="11.140625" style="352" customWidth="1"/>
    <col min="9" max="9" width="11.7109375" style="352" customWidth="1"/>
    <col min="10" max="11" width="9.28125" style="352" customWidth="1"/>
    <col min="12" max="12" width="7.28125" style="352" customWidth="1"/>
    <col min="13" max="13" width="9.28125" style="352" customWidth="1"/>
    <col min="14" max="14" width="9.8515625" style="352" customWidth="1"/>
    <col min="15" max="15" width="8.7109375" style="352" customWidth="1"/>
    <col min="16" max="16384" width="11.421875" style="352" customWidth="1"/>
  </cols>
  <sheetData>
    <row r="1" spans="2:15" ht="20.25">
      <c r="B1" s="1212"/>
      <c r="C1" s="1212"/>
      <c r="D1" s="1212"/>
      <c r="E1" s="1212"/>
      <c r="F1" s="1212"/>
      <c r="G1" s="1212"/>
      <c r="H1" s="1212"/>
      <c r="I1" s="1212"/>
      <c r="J1" s="1212"/>
      <c r="K1" s="1212"/>
      <c r="L1" s="1212"/>
      <c r="M1" s="1212"/>
      <c r="N1" s="1212"/>
      <c r="O1" s="1212"/>
    </row>
    <row r="2" ht="18">
      <c r="A2" s="10" t="s">
        <v>60</v>
      </c>
    </row>
    <row r="3" spans="3:15" ht="15">
      <c r="C3" s="606"/>
      <c r="D3" s="606"/>
      <c r="E3" s="606"/>
      <c r="F3" s="606"/>
      <c r="G3" s="606"/>
      <c r="H3" s="606"/>
      <c r="I3" s="606"/>
      <c r="J3" s="784"/>
      <c r="K3" s="784"/>
      <c r="L3" s="607"/>
      <c r="M3" s="607"/>
      <c r="N3" s="607"/>
      <c r="O3" s="607"/>
    </row>
    <row r="4" ht="13.5" thickBot="1"/>
    <row r="5" spans="2:22" ht="15.75" customHeight="1">
      <c r="B5" s="1019"/>
      <c r="C5" s="1020"/>
      <c r="D5" s="1021" t="s">
        <v>0</v>
      </c>
      <c r="E5" s="1022"/>
      <c r="F5" s="1022"/>
      <c r="G5" s="1022"/>
      <c r="H5" s="1021" t="s">
        <v>14</v>
      </c>
      <c r="I5" s="1022"/>
      <c r="J5" s="1023"/>
      <c r="K5" s="1023"/>
      <c r="L5" s="1023"/>
      <c r="M5" s="1021" t="s">
        <v>15</v>
      </c>
      <c r="N5" s="1024"/>
      <c r="O5" s="1025"/>
      <c r="R5" s="352" t="s">
        <v>0</v>
      </c>
      <c r="S5" s="352" t="s">
        <v>1</v>
      </c>
      <c r="T5" s="352" t="s">
        <v>2</v>
      </c>
      <c r="U5" s="424" t="s">
        <v>59</v>
      </c>
      <c r="V5" s="424" t="s">
        <v>226</v>
      </c>
    </row>
    <row r="6" spans="2:20" ht="13.5" thickBot="1">
      <c r="B6" s="1026" t="s">
        <v>18</v>
      </c>
      <c r="C6" s="1027" t="s">
        <v>0</v>
      </c>
      <c r="D6" s="1028" t="s">
        <v>4</v>
      </c>
      <c r="E6" s="1029" t="s">
        <v>5</v>
      </c>
      <c r="F6" s="1029" t="s">
        <v>59</v>
      </c>
      <c r="G6" s="1029" t="s">
        <v>6</v>
      </c>
      <c r="H6" s="1030" t="s">
        <v>0</v>
      </c>
      <c r="I6" s="1029" t="s">
        <v>4</v>
      </c>
      <c r="J6" s="1029" t="s">
        <v>5</v>
      </c>
      <c r="K6" s="1029" t="s">
        <v>59</v>
      </c>
      <c r="L6" s="1029" t="s">
        <v>6</v>
      </c>
      <c r="M6" s="1030" t="s">
        <v>0</v>
      </c>
      <c r="N6" s="1031" t="s">
        <v>4</v>
      </c>
      <c r="O6" s="1032" t="s">
        <v>5</v>
      </c>
      <c r="Q6" s="352">
        <v>1995</v>
      </c>
      <c r="R6" s="785">
        <f aca="true" t="shared" si="0" ref="R6:T21">C8</f>
        <v>4075.4080000000004</v>
      </c>
      <c r="S6" s="785">
        <f t="shared" si="0"/>
        <v>2474.885</v>
      </c>
      <c r="T6" s="785">
        <f t="shared" si="0"/>
        <v>1600.523</v>
      </c>
    </row>
    <row r="7" spans="2:20" ht="12.75">
      <c r="B7" s="786"/>
      <c r="C7" s="787"/>
      <c r="D7" s="788"/>
      <c r="E7" s="789"/>
      <c r="F7" s="789"/>
      <c r="G7" s="790"/>
      <c r="H7" s="791"/>
      <c r="I7" s="789"/>
      <c r="J7" s="789"/>
      <c r="K7" s="789"/>
      <c r="L7" s="790"/>
      <c r="M7" s="788"/>
      <c r="N7" s="792"/>
      <c r="O7" s="793"/>
      <c r="Q7" s="352">
        <v>1996</v>
      </c>
      <c r="R7" s="785">
        <f t="shared" si="0"/>
        <v>4003.201</v>
      </c>
      <c r="S7" s="785">
        <f t="shared" si="0"/>
        <v>2201.877</v>
      </c>
      <c r="T7" s="785">
        <f t="shared" si="0"/>
        <v>1801.074</v>
      </c>
    </row>
    <row r="8" spans="2:20" ht="12.75">
      <c r="B8" s="794">
        <v>1995</v>
      </c>
      <c r="C8" s="795">
        <f aca="true" t="shared" si="1" ref="C8:C23">SUM(D8:G8)</f>
        <v>4075.4080000000004</v>
      </c>
      <c r="D8" s="796">
        <f aca="true" t="shared" si="2" ref="D8:E23">SUM(I8,N8)</f>
        <v>2474.885</v>
      </c>
      <c r="E8" s="797">
        <f t="shared" si="2"/>
        <v>1600.523</v>
      </c>
      <c r="F8" s="797"/>
      <c r="G8" s="798"/>
      <c r="H8" s="796">
        <f aca="true" t="shared" si="3" ref="H8:H22">SUM(I8:L8)</f>
        <v>3195.392</v>
      </c>
      <c r="I8" s="796">
        <v>2205.915</v>
      </c>
      <c r="J8" s="799">
        <v>989.477</v>
      </c>
      <c r="K8" s="800"/>
      <c r="L8" s="798"/>
      <c r="M8" s="796">
        <f aca="true" t="shared" si="4" ref="M8:M23">SUM(N8:O8)</f>
        <v>880.016</v>
      </c>
      <c r="N8" s="797">
        <v>268.97</v>
      </c>
      <c r="O8" s="801">
        <v>611.0459999999999</v>
      </c>
      <c r="Q8" s="352">
        <v>1997</v>
      </c>
      <c r="R8" s="785">
        <f t="shared" si="0"/>
        <v>4581.019</v>
      </c>
      <c r="S8" s="785">
        <f t="shared" si="0"/>
        <v>2210.904</v>
      </c>
      <c r="T8" s="785">
        <f t="shared" si="0"/>
        <v>2369.865</v>
      </c>
    </row>
    <row r="9" spans="2:20" ht="12.75">
      <c r="B9" s="802">
        <v>1996</v>
      </c>
      <c r="C9" s="803">
        <f t="shared" si="1"/>
        <v>4003.201</v>
      </c>
      <c r="D9" s="804">
        <f t="shared" si="2"/>
        <v>2201.877</v>
      </c>
      <c r="E9" s="799">
        <f t="shared" si="2"/>
        <v>1801.074</v>
      </c>
      <c r="F9" s="799"/>
      <c r="G9" s="805">
        <v>0.25</v>
      </c>
      <c r="H9" s="804">
        <f t="shared" si="3"/>
        <v>2879.501</v>
      </c>
      <c r="I9" s="804">
        <v>1924.851</v>
      </c>
      <c r="J9" s="799">
        <v>954.4</v>
      </c>
      <c r="K9" s="799"/>
      <c r="L9" s="799">
        <v>0.25</v>
      </c>
      <c r="M9" s="804">
        <f t="shared" si="4"/>
        <v>1123.7</v>
      </c>
      <c r="N9" s="806">
        <v>277.026</v>
      </c>
      <c r="O9" s="807">
        <v>846.6740000000001</v>
      </c>
      <c r="Q9" s="352">
        <v>1998</v>
      </c>
      <c r="R9" s="785">
        <f t="shared" si="0"/>
        <v>4781.630999999999</v>
      </c>
      <c r="S9" s="785">
        <f t="shared" si="0"/>
        <v>2116.8689999999997</v>
      </c>
      <c r="T9" s="785">
        <f t="shared" si="0"/>
        <v>2664.5119999999997</v>
      </c>
    </row>
    <row r="10" spans="2:20" ht="12.75">
      <c r="B10" s="794">
        <v>1997</v>
      </c>
      <c r="C10" s="795">
        <f t="shared" si="1"/>
        <v>4581.019</v>
      </c>
      <c r="D10" s="796">
        <f t="shared" si="2"/>
        <v>2210.904</v>
      </c>
      <c r="E10" s="808">
        <f t="shared" si="2"/>
        <v>2369.865</v>
      </c>
      <c r="F10" s="808"/>
      <c r="G10" s="809">
        <v>0.25</v>
      </c>
      <c r="H10" s="796">
        <f t="shared" si="3"/>
        <v>3826.8329999999996</v>
      </c>
      <c r="I10" s="796">
        <v>2120.171</v>
      </c>
      <c r="J10" s="808">
        <v>1706.4119999999998</v>
      </c>
      <c r="K10" s="808"/>
      <c r="L10" s="808">
        <v>0.25</v>
      </c>
      <c r="M10" s="796">
        <f t="shared" si="4"/>
        <v>754.1859999999999</v>
      </c>
      <c r="N10" s="797">
        <v>90.733</v>
      </c>
      <c r="O10" s="801">
        <v>663.453</v>
      </c>
      <c r="Q10" s="352">
        <v>1999</v>
      </c>
      <c r="R10" s="785">
        <f t="shared" si="0"/>
        <v>5116.156</v>
      </c>
      <c r="S10" s="785">
        <f t="shared" si="0"/>
        <v>2318.108</v>
      </c>
      <c r="T10" s="785">
        <f t="shared" si="0"/>
        <v>2797.348</v>
      </c>
    </row>
    <row r="11" spans="2:20" ht="12.75">
      <c r="B11" s="802">
        <v>1998</v>
      </c>
      <c r="C11" s="803">
        <f t="shared" si="1"/>
        <v>4781.630999999999</v>
      </c>
      <c r="D11" s="804">
        <f t="shared" si="2"/>
        <v>2116.8689999999997</v>
      </c>
      <c r="E11" s="799">
        <f t="shared" si="2"/>
        <v>2664.5119999999997</v>
      </c>
      <c r="F11" s="799"/>
      <c r="G11" s="805">
        <v>0.25</v>
      </c>
      <c r="H11" s="804">
        <f t="shared" si="3"/>
        <v>4020.8509999999997</v>
      </c>
      <c r="I11" s="810">
        <v>2022.9019999999998</v>
      </c>
      <c r="J11" s="806">
        <v>1997.649</v>
      </c>
      <c r="K11" s="806"/>
      <c r="L11" s="799">
        <v>0.3</v>
      </c>
      <c r="M11" s="804">
        <f t="shared" si="4"/>
        <v>760.8299999999999</v>
      </c>
      <c r="N11" s="806">
        <v>93.96700000000001</v>
      </c>
      <c r="O11" s="807">
        <v>666.8629999999999</v>
      </c>
      <c r="Q11" s="352">
        <v>2000</v>
      </c>
      <c r="R11" s="785">
        <f t="shared" si="0"/>
        <v>5554.8460000000005</v>
      </c>
      <c r="S11" s="785">
        <f t="shared" si="0"/>
        <v>2650.8950000000004</v>
      </c>
      <c r="T11" s="785">
        <f t="shared" si="0"/>
        <v>2903.251</v>
      </c>
    </row>
    <row r="12" spans="2:20" ht="12.75">
      <c r="B12" s="794">
        <v>1999</v>
      </c>
      <c r="C12" s="795">
        <f t="shared" si="1"/>
        <v>5116.156</v>
      </c>
      <c r="D12" s="796">
        <f t="shared" si="2"/>
        <v>2318.108</v>
      </c>
      <c r="E12" s="808">
        <f t="shared" si="2"/>
        <v>2797.348</v>
      </c>
      <c r="F12" s="808"/>
      <c r="G12" s="809">
        <v>0.7</v>
      </c>
      <c r="H12" s="796">
        <f t="shared" si="3"/>
        <v>4317.928999999999</v>
      </c>
      <c r="I12" s="800">
        <v>2242.625</v>
      </c>
      <c r="J12" s="808">
        <v>2074.604</v>
      </c>
      <c r="K12" s="808"/>
      <c r="L12" s="808">
        <v>0.7</v>
      </c>
      <c r="M12" s="796">
        <f t="shared" si="4"/>
        <v>798.227</v>
      </c>
      <c r="N12" s="797">
        <v>75.48299999999999</v>
      </c>
      <c r="O12" s="801">
        <v>722.744</v>
      </c>
      <c r="Q12" s="352">
        <v>2001</v>
      </c>
      <c r="R12" s="785">
        <f t="shared" si="0"/>
        <v>5387.177</v>
      </c>
      <c r="S12" s="785">
        <f t="shared" si="0"/>
        <v>2744.5029999999997</v>
      </c>
      <c r="T12" s="785">
        <f t="shared" si="0"/>
        <v>2641.974</v>
      </c>
    </row>
    <row r="13" spans="2:20" ht="12.75">
      <c r="B13" s="802">
        <v>2000</v>
      </c>
      <c r="C13" s="803">
        <f t="shared" si="1"/>
        <v>5554.8460000000005</v>
      </c>
      <c r="D13" s="804">
        <f t="shared" si="2"/>
        <v>2650.8950000000004</v>
      </c>
      <c r="E13" s="799">
        <f t="shared" si="2"/>
        <v>2903.251</v>
      </c>
      <c r="F13" s="799"/>
      <c r="G13" s="805">
        <f>L13</f>
        <v>0.7</v>
      </c>
      <c r="H13" s="804">
        <f t="shared" si="3"/>
        <v>4775.935</v>
      </c>
      <c r="I13" s="810">
        <v>2575.9240000000004</v>
      </c>
      <c r="J13" s="799">
        <v>2199.311</v>
      </c>
      <c r="K13" s="799"/>
      <c r="L13" s="799">
        <v>0.7</v>
      </c>
      <c r="M13" s="804">
        <f t="shared" si="4"/>
        <v>778.9110000000001</v>
      </c>
      <c r="N13" s="806">
        <v>74.971</v>
      </c>
      <c r="O13" s="807">
        <v>703.94</v>
      </c>
      <c r="Q13" s="811">
        <v>2002</v>
      </c>
      <c r="R13" s="785">
        <f t="shared" si="0"/>
        <v>5395.669</v>
      </c>
      <c r="S13" s="785">
        <f t="shared" si="0"/>
        <v>2775.2819999999997</v>
      </c>
      <c r="T13" s="785">
        <f t="shared" si="0"/>
        <v>2619.6870000000004</v>
      </c>
    </row>
    <row r="14" spans="2:20" ht="12.75">
      <c r="B14" s="812" t="s">
        <v>272</v>
      </c>
      <c r="C14" s="795">
        <f t="shared" si="1"/>
        <v>5387.177</v>
      </c>
      <c r="D14" s="796">
        <f t="shared" si="2"/>
        <v>2744.5029999999997</v>
      </c>
      <c r="E14" s="808">
        <f t="shared" si="2"/>
        <v>2641.974</v>
      </c>
      <c r="F14" s="808"/>
      <c r="G14" s="808">
        <v>0.7</v>
      </c>
      <c r="H14" s="808">
        <f t="shared" si="3"/>
        <v>4642.063999999999</v>
      </c>
      <c r="I14" s="808">
        <v>2674.8349999999996</v>
      </c>
      <c r="J14" s="808">
        <v>1966.529</v>
      </c>
      <c r="K14" s="808"/>
      <c r="L14" s="808">
        <v>0.7</v>
      </c>
      <c r="M14" s="808">
        <f t="shared" si="4"/>
        <v>745.1130000000002</v>
      </c>
      <c r="N14" s="808">
        <v>69.66799999999999</v>
      </c>
      <c r="O14" s="801">
        <v>675.4450000000002</v>
      </c>
      <c r="Q14" s="352">
        <v>2003</v>
      </c>
      <c r="R14" s="785">
        <f t="shared" si="0"/>
        <v>5421.807</v>
      </c>
      <c r="S14" s="785">
        <f t="shared" si="0"/>
        <v>2790.273</v>
      </c>
      <c r="T14" s="785">
        <f t="shared" si="0"/>
        <v>2630.8340000000003</v>
      </c>
    </row>
    <row r="15" spans="2:20" ht="12.75">
      <c r="B15" s="802">
        <v>2002</v>
      </c>
      <c r="C15" s="803">
        <f t="shared" si="1"/>
        <v>5395.669</v>
      </c>
      <c r="D15" s="804">
        <f t="shared" si="2"/>
        <v>2775.2819999999997</v>
      </c>
      <c r="E15" s="799">
        <f t="shared" si="2"/>
        <v>2619.6870000000004</v>
      </c>
      <c r="F15" s="799"/>
      <c r="G15" s="799">
        <f aca="true" t="shared" si="5" ref="G15:G26">SUM(L15)</f>
        <v>0.7</v>
      </c>
      <c r="H15" s="799">
        <f t="shared" si="3"/>
        <v>4657.826999999999</v>
      </c>
      <c r="I15" s="799">
        <v>2702.863</v>
      </c>
      <c r="J15" s="799">
        <v>1954.264</v>
      </c>
      <c r="K15" s="799"/>
      <c r="L15" s="799">
        <v>0.7</v>
      </c>
      <c r="M15" s="799">
        <f t="shared" si="4"/>
        <v>737.8420000000006</v>
      </c>
      <c r="N15" s="799">
        <v>72.419</v>
      </c>
      <c r="O15" s="807">
        <v>665.4230000000006</v>
      </c>
      <c r="Q15" s="352">
        <v>2004</v>
      </c>
      <c r="R15" s="785">
        <f t="shared" si="0"/>
        <v>5417.959070000002</v>
      </c>
      <c r="S15" s="785">
        <f t="shared" si="0"/>
        <v>2815.004070000001</v>
      </c>
      <c r="T15" s="785">
        <f t="shared" si="0"/>
        <v>2602.2550000000006</v>
      </c>
    </row>
    <row r="16" spans="2:20" ht="12.75">
      <c r="B16" s="794">
        <v>2003</v>
      </c>
      <c r="C16" s="795">
        <f t="shared" si="1"/>
        <v>5421.807</v>
      </c>
      <c r="D16" s="796">
        <f t="shared" si="2"/>
        <v>2790.273</v>
      </c>
      <c r="E16" s="808">
        <f t="shared" si="2"/>
        <v>2630.8340000000003</v>
      </c>
      <c r="F16" s="808"/>
      <c r="G16" s="808">
        <f t="shared" si="5"/>
        <v>0.7</v>
      </c>
      <c r="H16" s="808">
        <f t="shared" si="3"/>
        <v>4686.394</v>
      </c>
      <c r="I16" s="808">
        <v>2720.2290000000003</v>
      </c>
      <c r="J16" s="808">
        <v>1965.465</v>
      </c>
      <c r="K16" s="808"/>
      <c r="L16" s="808">
        <v>0.7</v>
      </c>
      <c r="M16" s="808">
        <f t="shared" si="4"/>
        <v>735.4130000000004</v>
      </c>
      <c r="N16" s="808">
        <v>70.04399999999998</v>
      </c>
      <c r="O16" s="801">
        <v>665.3690000000004</v>
      </c>
      <c r="Q16" s="352">
        <v>2005</v>
      </c>
      <c r="R16" s="785">
        <f t="shared" si="0"/>
        <v>5610.925</v>
      </c>
      <c r="S16" s="785">
        <f t="shared" si="0"/>
        <v>2989.203</v>
      </c>
      <c r="T16" s="785">
        <f t="shared" si="0"/>
        <v>2621.022</v>
      </c>
    </row>
    <row r="17" spans="2:20" ht="12.75">
      <c r="B17" s="802">
        <v>2004</v>
      </c>
      <c r="C17" s="803">
        <f t="shared" si="1"/>
        <v>5417.959070000002</v>
      </c>
      <c r="D17" s="804">
        <f t="shared" si="2"/>
        <v>2815.004070000001</v>
      </c>
      <c r="E17" s="799">
        <f t="shared" si="2"/>
        <v>2602.2550000000006</v>
      </c>
      <c r="F17" s="799"/>
      <c r="G17" s="799">
        <f t="shared" si="5"/>
        <v>0.7</v>
      </c>
      <c r="H17" s="799">
        <f t="shared" si="3"/>
        <v>4657.315070000001</v>
      </c>
      <c r="I17" s="799">
        <v>2747.272070000001</v>
      </c>
      <c r="J17" s="799">
        <v>1909.343</v>
      </c>
      <c r="K17" s="799"/>
      <c r="L17" s="799">
        <v>0.7</v>
      </c>
      <c r="M17" s="799">
        <f t="shared" si="4"/>
        <v>760.6440000000003</v>
      </c>
      <c r="N17" s="799">
        <v>67.732</v>
      </c>
      <c r="O17" s="807">
        <v>692.9120000000004</v>
      </c>
      <c r="Q17" s="352">
        <v>2006</v>
      </c>
      <c r="R17" s="785">
        <f t="shared" si="0"/>
        <v>5873.400000000001</v>
      </c>
      <c r="S17" s="785">
        <f t="shared" si="0"/>
        <v>2995.974</v>
      </c>
      <c r="T17" s="785">
        <f t="shared" si="0"/>
        <v>2876.7260000000006</v>
      </c>
    </row>
    <row r="18" spans="2:20" ht="12.75">
      <c r="B18" s="794">
        <v>2005</v>
      </c>
      <c r="C18" s="795">
        <f t="shared" si="1"/>
        <v>5610.925</v>
      </c>
      <c r="D18" s="796">
        <f t="shared" si="2"/>
        <v>2989.203</v>
      </c>
      <c r="E18" s="797">
        <f t="shared" si="2"/>
        <v>2621.022</v>
      </c>
      <c r="F18" s="797"/>
      <c r="G18" s="808">
        <f t="shared" si="5"/>
        <v>0.7</v>
      </c>
      <c r="H18" s="796">
        <f t="shared" si="3"/>
        <v>4798.663</v>
      </c>
      <c r="I18" s="808">
        <v>2918.773</v>
      </c>
      <c r="J18" s="797">
        <v>1879.1899999999998</v>
      </c>
      <c r="K18" s="797"/>
      <c r="L18" s="808">
        <v>0.7</v>
      </c>
      <c r="M18" s="796">
        <f t="shared" si="4"/>
        <v>812.2620000000004</v>
      </c>
      <c r="N18" s="808">
        <v>70.43</v>
      </c>
      <c r="O18" s="801">
        <v>741.8320000000003</v>
      </c>
      <c r="Q18" s="811">
        <v>2007</v>
      </c>
      <c r="R18" s="785">
        <f t="shared" si="0"/>
        <v>6352.013999999998</v>
      </c>
      <c r="S18" s="785">
        <f t="shared" si="0"/>
        <v>3013.297999999998</v>
      </c>
      <c r="T18" s="785">
        <f t="shared" si="0"/>
        <v>3338.0160000000005</v>
      </c>
    </row>
    <row r="19" spans="2:20" ht="12.75">
      <c r="B19" s="802">
        <v>2006</v>
      </c>
      <c r="C19" s="803">
        <f t="shared" si="1"/>
        <v>5873.400000000001</v>
      </c>
      <c r="D19" s="804">
        <f t="shared" si="2"/>
        <v>2995.974</v>
      </c>
      <c r="E19" s="806">
        <f t="shared" si="2"/>
        <v>2876.7260000000006</v>
      </c>
      <c r="F19" s="806"/>
      <c r="G19" s="799">
        <f t="shared" si="5"/>
        <v>0.7</v>
      </c>
      <c r="H19" s="804">
        <f t="shared" si="3"/>
        <v>5064.362</v>
      </c>
      <c r="I19" s="799">
        <v>2926.618</v>
      </c>
      <c r="J19" s="806">
        <v>2137.0440000000003</v>
      </c>
      <c r="K19" s="806"/>
      <c r="L19" s="799">
        <v>0.7</v>
      </c>
      <c r="M19" s="804">
        <f t="shared" si="4"/>
        <v>809.038</v>
      </c>
      <c r="N19" s="799">
        <v>69.356</v>
      </c>
      <c r="O19" s="807">
        <v>739.682</v>
      </c>
      <c r="Q19" s="352">
        <v>2008</v>
      </c>
      <c r="R19" s="785">
        <f t="shared" si="0"/>
        <v>6348.944</v>
      </c>
      <c r="S19" s="785">
        <f t="shared" si="0"/>
        <v>3027.9020000000005</v>
      </c>
      <c r="T19" s="785">
        <f t="shared" si="0"/>
        <v>3320.3419999999996</v>
      </c>
    </row>
    <row r="20" spans="2:20" ht="12.75">
      <c r="B20" s="794">
        <v>2007</v>
      </c>
      <c r="C20" s="795">
        <f t="shared" si="1"/>
        <v>6352.013999999998</v>
      </c>
      <c r="D20" s="796">
        <f t="shared" si="2"/>
        <v>3013.297999999998</v>
      </c>
      <c r="E20" s="797">
        <f t="shared" si="2"/>
        <v>3338.0160000000005</v>
      </c>
      <c r="F20" s="797"/>
      <c r="G20" s="808">
        <f t="shared" si="5"/>
        <v>0.7</v>
      </c>
      <c r="H20" s="796">
        <f t="shared" si="3"/>
        <v>5532.854999999999</v>
      </c>
      <c r="I20" s="808">
        <v>2939.586999999998</v>
      </c>
      <c r="J20" s="797">
        <v>2592.5680000000007</v>
      </c>
      <c r="K20" s="797"/>
      <c r="L20" s="808">
        <v>0.7</v>
      </c>
      <c r="M20" s="796">
        <f t="shared" si="4"/>
        <v>819.1590000000001</v>
      </c>
      <c r="N20" s="808">
        <v>73.71099999999998</v>
      </c>
      <c r="O20" s="801">
        <v>745.4480000000001</v>
      </c>
      <c r="Q20" s="352">
        <v>2009</v>
      </c>
      <c r="R20" s="785">
        <f t="shared" si="0"/>
        <v>7256.347</v>
      </c>
      <c r="S20" s="785">
        <f t="shared" si="0"/>
        <v>3115.768</v>
      </c>
      <c r="T20" s="785">
        <f t="shared" si="0"/>
        <v>4139.879</v>
      </c>
    </row>
    <row r="21" spans="2:20" ht="12.75">
      <c r="B21" s="802">
        <v>2008</v>
      </c>
      <c r="C21" s="803">
        <f t="shared" si="1"/>
        <v>6348.944</v>
      </c>
      <c r="D21" s="804">
        <f t="shared" si="2"/>
        <v>3027.9020000000005</v>
      </c>
      <c r="E21" s="806">
        <f t="shared" si="2"/>
        <v>3320.3419999999996</v>
      </c>
      <c r="F21" s="806"/>
      <c r="G21" s="799">
        <f t="shared" si="5"/>
        <v>0.7</v>
      </c>
      <c r="H21" s="804">
        <f t="shared" si="3"/>
        <v>5444.215999999999</v>
      </c>
      <c r="I21" s="799">
        <v>2953.1210000000005</v>
      </c>
      <c r="J21" s="806">
        <v>2490.3949999999995</v>
      </c>
      <c r="K21" s="806"/>
      <c r="L21" s="799">
        <v>0.7</v>
      </c>
      <c r="M21" s="804">
        <f t="shared" si="4"/>
        <v>904.728</v>
      </c>
      <c r="N21" s="799">
        <v>74.78099999999998</v>
      </c>
      <c r="O21" s="807">
        <v>829.947</v>
      </c>
      <c r="Q21" s="352">
        <v>2010</v>
      </c>
      <c r="R21" s="785">
        <f t="shared" si="0"/>
        <v>8000.3870000000015</v>
      </c>
      <c r="S21" s="785">
        <f t="shared" si="0"/>
        <v>3317.4450000000006</v>
      </c>
      <c r="T21" s="785">
        <f t="shared" si="0"/>
        <v>4682.242000000001</v>
      </c>
    </row>
    <row r="22" spans="2:20" ht="12.75">
      <c r="B22" s="794">
        <v>2009</v>
      </c>
      <c r="C22" s="795">
        <f t="shared" si="1"/>
        <v>7256.347</v>
      </c>
      <c r="D22" s="796">
        <f t="shared" si="2"/>
        <v>3115.768</v>
      </c>
      <c r="E22" s="797">
        <f t="shared" si="2"/>
        <v>4139.879</v>
      </c>
      <c r="F22" s="797"/>
      <c r="G22" s="808">
        <f t="shared" si="5"/>
        <v>0.7</v>
      </c>
      <c r="H22" s="796">
        <f t="shared" si="3"/>
        <v>6246.409000000001</v>
      </c>
      <c r="I22" s="808">
        <v>3037.1620000000003</v>
      </c>
      <c r="J22" s="797">
        <v>3208.547</v>
      </c>
      <c r="K22" s="797"/>
      <c r="L22" s="808">
        <v>0.7</v>
      </c>
      <c r="M22" s="796">
        <f t="shared" si="4"/>
        <v>1009.9380000000001</v>
      </c>
      <c r="N22" s="808">
        <v>78.606</v>
      </c>
      <c r="O22" s="801">
        <v>931.3320000000001</v>
      </c>
      <c r="Q22" s="352">
        <v>2011</v>
      </c>
      <c r="R22" s="785">
        <f aca="true" t="shared" si="6" ref="R22:T24">C24</f>
        <v>8045.533</v>
      </c>
      <c r="S22" s="785">
        <f t="shared" si="6"/>
        <v>3328.6240000000003</v>
      </c>
      <c r="T22" s="785">
        <f t="shared" si="6"/>
        <v>4716.209000000001</v>
      </c>
    </row>
    <row r="23" spans="2:22" ht="12.75">
      <c r="B23" s="802">
        <v>2010</v>
      </c>
      <c r="C23" s="813">
        <f t="shared" si="1"/>
        <v>8000.3870000000015</v>
      </c>
      <c r="D23" s="804">
        <f t="shared" si="2"/>
        <v>3317.4450000000006</v>
      </c>
      <c r="E23" s="806">
        <f t="shared" si="2"/>
        <v>4682.242000000001</v>
      </c>
      <c r="F23" s="806"/>
      <c r="G23" s="814">
        <f t="shared" si="5"/>
        <v>0.7</v>
      </c>
      <c r="H23" s="815">
        <f>SUM(I23:L23)</f>
        <v>6875.038000000001</v>
      </c>
      <c r="I23" s="814">
        <v>3237.361000000001</v>
      </c>
      <c r="J23" s="816">
        <v>3636.9770000000008</v>
      </c>
      <c r="K23" s="816"/>
      <c r="L23" s="799">
        <v>0.7</v>
      </c>
      <c r="M23" s="815">
        <f t="shared" si="4"/>
        <v>1125.3490000000004</v>
      </c>
      <c r="N23" s="814">
        <v>80.084</v>
      </c>
      <c r="O23" s="817">
        <v>1045.2650000000003</v>
      </c>
      <c r="Q23" s="352">
        <v>2012</v>
      </c>
      <c r="R23" s="785">
        <f t="shared" si="6"/>
        <v>8939.257000000001</v>
      </c>
      <c r="S23" s="785">
        <f t="shared" si="6"/>
        <v>3360.136</v>
      </c>
      <c r="T23" s="785">
        <f t="shared" si="6"/>
        <v>5498.421</v>
      </c>
      <c r="U23" s="818">
        <f>F25</f>
        <v>80</v>
      </c>
      <c r="V23" s="818"/>
    </row>
    <row r="24" spans="2:22" ht="12.75">
      <c r="B24" s="794">
        <v>2011</v>
      </c>
      <c r="C24" s="795">
        <f>SUM(D24:G24)</f>
        <v>8045.533</v>
      </c>
      <c r="D24" s="796">
        <f aca="true" t="shared" si="7" ref="D24:E27">SUM(I24,N24)</f>
        <v>3328.6240000000003</v>
      </c>
      <c r="E24" s="797">
        <f t="shared" si="7"/>
        <v>4716.209000000001</v>
      </c>
      <c r="F24" s="797"/>
      <c r="G24" s="808">
        <f t="shared" si="5"/>
        <v>0.7</v>
      </c>
      <c r="H24" s="796">
        <f>SUM(I24:L24)</f>
        <v>6867.821000000001</v>
      </c>
      <c r="I24" s="808">
        <v>3246.6250000000005</v>
      </c>
      <c r="J24" s="797">
        <v>3620.4960000000005</v>
      </c>
      <c r="K24" s="797"/>
      <c r="L24" s="808">
        <v>0.7</v>
      </c>
      <c r="M24" s="796">
        <f>SUM(N24:O24)</f>
        <v>1177.712</v>
      </c>
      <c r="N24" s="808">
        <v>81.999</v>
      </c>
      <c r="O24" s="801">
        <v>1095.713</v>
      </c>
      <c r="Q24" s="352">
        <v>2013</v>
      </c>
      <c r="R24" s="785">
        <f t="shared" si="6"/>
        <v>9885.272</v>
      </c>
      <c r="S24" s="785">
        <f t="shared" si="6"/>
        <v>3414.4079999999994</v>
      </c>
      <c r="T24" s="785">
        <f t="shared" si="6"/>
        <v>6390.164</v>
      </c>
      <c r="U24" s="818">
        <f>F26</f>
        <v>80</v>
      </c>
      <c r="V24" s="818"/>
    </row>
    <row r="25" spans="2:22" ht="12.75">
      <c r="B25" s="819">
        <v>2012</v>
      </c>
      <c r="C25" s="813">
        <f>SUM(D25:G25)</f>
        <v>8939.257000000001</v>
      </c>
      <c r="D25" s="804">
        <f t="shared" si="7"/>
        <v>3360.136</v>
      </c>
      <c r="E25" s="806">
        <f t="shared" si="7"/>
        <v>5498.421</v>
      </c>
      <c r="F25" s="806">
        <f>SUM(K25)</f>
        <v>80</v>
      </c>
      <c r="G25" s="814">
        <f t="shared" si="5"/>
        <v>0.7</v>
      </c>
      <c r="H25" s="815">
        <f>SUM(I25:L25)</f>
        <v>7754.905</v>
      </c>
      <c r="I25" s="814">
        <v>3270.5969999999998</v>
      </c>
      <c r="J25" s="816">
        <v>4403.608</v>
      </c>
      <c r="K25" s="816">
        <v>80</v>
      </c>
      <c r="L25" s="799">
        <v>0.7</v>
      </c>
      <c r="M25" s="815">
        <f>SUM(N25:O25)</f>
        <v>1184.352</v>
      </c>
      <c r="N25" s="814">
        <v>89.53900000000002</v>
      </c>
      <c r="O25" s="817">
        <v>1094.813</v>
      </c>
      <c r="Q25" s="352">
        <v>2014</v>
      </c>
      <c r="R25" s="785">
        <f>C27</f>
        <v>10269.342000000002</v>
      </c>
      <c r="S25" s="785">
        <f>D27</f>
        <v>3527.2880000000005</v>
      </c>
      <c r="T25" s="785">
        <f>E27</f>
        <v>6503.354000000001</v>
      </c>
      <c r="U25" s="818">
        <f>F27</f>
        <v>96</v>
      </c>
      <c r="V25" s="818">
        <f>G27</f>
        <v>142.7</v>
      </c>
    </row>
    <row r="26" spans="2:20" ht="12.75">
      <c r="B26" s="820">
        <v>2013</v>
      </c>
      <c r="C26" s="821">
        <f>SUM(D26:G26)</f>
        <v>9885.272</v>
      </c>
      <c r="D26" s="822">
        <f t="shared" si="7"/>
        <v>3414.4079999999994</v>
      </c>
      <c r="E26" s="823">
        <f t="shared" si="7"/>
        <v>6390.164</v>
      </c>
      <c r="F26" s="823">
        <f>SUM(K26)</f>
        <v>80</v>
      </c>
      <c r="G26" s="824">
        <f t="shared" si="5"/>
        <v>0.7</v>
      </c>
      <c r="H26" s="822">
        <f>SUM(I26:L26)</f>
        <v>8680.421</v>
      </c>
      <c r="I26" s="824">
        <v>3337.0359999999996</v>
      </c>
      <c r="J26" s="823">
        <v>5262.6849999999995</v>
      </c>
      <c r="K26" s="823">
        <v>80</v>
      </c>
      <c r="L26" s="824">
        <v>0.7</v>
      </c>
      <c r="M26" s="822">
        <f>SUM(N26:O26)</f>
        <v>1204.851</v>
      </c>
      <c r="N26" s="824">
        <v>77.372</v>
      </c>
      <c r="O26" s="825">
        <v>1127.479</v>
      </c>
      <c r="R26" s="785"/>
      <c r="S26" s="785"/>
      <c r="T26" s="785"/>
    </row>
    <row r="27" spans="2:20" ht="12.75">
      <c r="B27" s="826">
        <v>2014</v>
      </c>
      <c r="C27" s="813">
        <f>SUM(D27:G27)</f>
        <v>10269.342000000002</v>
      </c>
      <c r="D27" s="804">
        <f t="shared" si="7"/>
        <v>3527.2880000000005</v>
      </c>
      <c r="E27" s="806">
        <f t="shared" si="7"/>
        <v>6503.354000000001</v>
      </c>
      <c r="F27" s="806">
        <f>SUM(K27)</f>
        <v>96</v>
      </c>
      <c r="G27" s="814">
        <f>SUM(L27)</f>
        <v>142.7</v>
      </c>
      <c r="H27" s="815">
        <f>SUM(I27:L27)</f>
        <v>9082.800000000003</v>
      </c>
      <c r="I27" s="814">
        <v>3435.9410000000007</v>
      </c>
      <c r="J27" s="816">
        <v>5408.1590000000015</v>
      </c>
      <c r="K27" s="816">
        <v>96</v>
      </c>
      <c r="L27" s="799">
        <v>142.7</v>
      </c>
      <c r="M27" s="815">
        <f>SUM(N27:O27)</f>
        <v>1186.5420000000001</v>
      </c>
      <c r="N27" s="814">
        <v>91.34699999999998</v>
      </c>
      <c r="O27" s="817">
        <v>1095.1950000000002</v>
      </c>
      <c r="R27" s="785"/>
      <c r="S27" s="785"/>
      <c r="T27" s="785"/>
    </row>
    <row r="28" spans="2:20" ht="13.5" thickBot="1">
      <c r="B28" s="819"/>
      <c r="C28" s="813"/>
      <c r="D28" s="815"/>
      <c r="E28" s="816"/>
      <c r="F28" s="827"/>
      <c r="G28" s="814"/>
      <c r="H28" s="815"/>
      <c r="I28" s="814"/>
      <c r="J28" s="816"/>
      <c r="K28" s="827"/>
      <c r="L28" s="814"/>
      <c r="M28" s="815"/>
      <c r="N28" s="814"/>
      <c r="O28" s="817"/>
      <c r="R28" s="785"/>
      <c r="S28" s="785"/>
      <c r="T28" s="785"/>
    </row>
    <row r="29" spans="2:20" ht="12.75">
      <c r="B29" s="828" t="s">
        <v>273</v>
      </c>
      <c r="C29" s="829">
        <f>(C27/C26)-1</f>
        <v>0.038852749828229394</v>
      </c>
      <c r="D29" s="830">
        <f>(D27/D26)-1</f>
        <v>0.0330599037959145</v>
      </c>
      <c r="E29" s="831">
        <f>(E27/E26)-1</f>
        <v>0.017713160413410645</v>
      </c>
      <c r="F29" s="832"/>
      <c r="G29" s="833"/>
      <c r="H29" s="834">
        <f>(H27/H26)-1</f>
        <v>0.04635477933616383</v>
      </c>
      <c r="I29" s="830">
        <f>(I27/I26)-1</f>
        <v>0.029638577468148686</v>
      </c>
      <c r="J29" s="831">
        <f>(J27/J26)-1</f>
        <v>0.027642543682550258</v>
      </c>
      <c r="K29" s="832"/>
      <c r="L29" s="833"/>
      <c r="M29" s="834">
        <f>(M27/M26)-1</f>
        <v>-0.01519606988747979</v>
      </c>
      <c r="N29" s="830">
        <f>(N27/N26)-1</f>
        <v>0.18062089644832735</v>
      </c>
      <c r="O29" s="831">
        <f>(O27/O26)-1</f>
        <v>-0.02863379273582911</v>
      </c>
      <c r="R29" s="785"/>
      <c r="S29" s="785"/>
      <c r="T29" s="785"/>
    </row>
    <row r="30" spans="2:20" ht="12.75">
      <c r="B30" s="835" t="s">
        <v>274</v>
      </c>
      <c r="C30" s="836">
        <f>((C27/C22)^(1/5))-1</f>
        <v>0.07192627131387441</v>
      </c>
      <c r="D30" s="837">
        <f>((D27/D22)^(1/5))-1</f>
        <v>0.025121073991649645</v>
      </c>
      <c r="E30" s="838">
        <f>((E27/E22)^(1/5))-1</f>
        <v>0.09453574554365485</v>
      </c>
      <c r="F30" s="832"/>
      <c r="G30" s="839"/>
      <c r="H30" s="840">
        <f>((H27/H22)^(1/5))-1</f>
        <v>0.07774959115992375</v>
      </c>
      <c r="I30" s="837">
        <f>((I27/I22)^(1/5))-1</f>
        <v>0.024980370031385313</v>
      </c>
      <c r="J30" s="838">
        <f>((J27/J22)^(1/5))-1</f>
        <v>0.11006448751943654</v>
      </c>
      <c r="K30" s="832"/>
      <c r="L30" s="841"/>
      <c r="M30" s="840">
        <f>((M27/M22)^(1/5))-1</f>
        <v>0.032755889829957585</v>
      </c>
      <c r="N30" s="837">
        <f>((N27/N22)^(1/5))-1</f>
        <v>0.030499340979133427</v>
      </c>
      <c r="O30" s="838">
        <f>((O27/O22)^(1/5))-1</f>
        <v>0.032945446312266036</v>
      </c>
      <c r="R30" s="785"/>
      <c r="S30" s="785"/>
      <c r="T30" s="785"/>
    </row>
    <row r="31" spans="2:15" ht="12.75">
      <c r="B31" s="842" t="s">
        <v>275</v>
      </c>
      <c r="C31" s="843">
        <f>(C27/C17)-1</f>
        <v>0.8954262790324106</v>
      </c>
      <c r="D31" s="844">
        <f>(D27/D17)-1</f>
        <v>0.25303122563513725</v>
      </c>
      <c r="E31" s="845">
        <f>(E27/E17)-1</f>
        <v>1.499122491838809</v>
      </c>
      <c r="F31" s="832"/>
      <c r="G31" s="839"/>
      <c r="H31" s="846">
        <f>(H27/H17)-1</f>
        <v>0.9502223627743531</v>
      </c>
      <c r="I31" s="844">
        <f>(I27/I17)-1</f>
        <v>0.2506737274113515</v>
      </c>
      <c r="J31" s="845">
        <f>(J27/J17)-1</f>
        <v>1.8324711694022504</v>
      </c>
      <c r="K31" s="832"/>
      <c r="L31" s="841"/>
      <c r="M31" s="846">
        <f>(M27/M17)-1</f>
        <v>0.5599176487292341</v>
      </c>
      <c r="N31" s="844">
        <f>(N27/N17)-1</f>
        <v>0.34865351680151146</v>
      </c>
      <c r="O31" s="845">
        <f>(O27/O17)-1</f>
        <v>0.5805686725009807</v>
      </c>
    </row>
    <row r="32" spans="2:15" ht="12.75" customHeight="1" thickBot="1">
      <c r="B32" s="847" t="s">
        <v>276</v>
      </c>
      <c r="C32" s="848">
        <f>((C27/C17)^(1/10))-1</f>
        <v>0.066033100363734</v>
      </c>
      <c r="D32" s="849">
        <f>((D27/D17)^(1/10))-1</f>
        <v>0.022812882446871408</v>
      </c>
      <c r="E32" s="850">
        <f>((E27/E17)^(1/10))-1</f>
        <v>0.0959197518161925</v>
      </c>
      <c r="F32" s="832"/>
      <c r="G32" s="841"/>
      <c r="H32" s="851">
        <f>((H27/H17)^(1/10))-1</f>
        <v>0.06907558929315938</v>
      </c>
      <c r="I32" s="849">
        <f>((I27/I17)^(1/10))-1</f>
        <v>0.02262028361605184</v>
      </c>
      <c r="J32" s="850">
        <f>((J27/J17)^(1/10))-1</f>
        <v>0.10972801474405802</v>
      </c>
      <c r="K32" s="832"/>
      <c r="L32" s="841"/>
      <c r="M32" s="851">
        <f>((M27/M17)^(1/10))-1</f>
        <v>0.04546661058017398</v>
      </c>
      <c r="N32" s="849">
        <f>((N27/N17)^(1/10))-1</f>
        <v>0.030362487536496507</v>
      </c>
      <c r="O32" s="850">
        <f>((O27/O17)^(1/10))-1</f>
        <v>0.04684247841987821</v>
      </c>
    </row>
    <row r="33" spans="2:18" ht="12.75">
      <c r="B33" s="697" t="s">
        <v>287</v>
      </c>
      <c r="R33" s="352" t="s">
        <v>46</v>
      </c>
    </row>
    <row r="34" spans="2:22" ht="12.75">
      <c r="B34" s="697"/>
      <c r="R34" s="352" t="s">
        <v>0</v>
      </c>
      <c r="S34" s="352" t="s">
        <v>4</v>
      </c>
      <c r="T34" s="352" t="s">
        <v>5</v>
      </c>
      <c r="U34" s="424" t="s">
        <v>59</v>
      </c>
      <c r="V34" s="424" t="s">
        <v>226</v>
      </c>
    </row>
    <row r="35" spans="17:20" ht="12.75">
      <c r="Q35" s="352">
        <v>1995</v>
      </c>
      <c r="R35" s="785">
        <f aca="true" t="shared" si="8" ref="R35:T53">H8</f>
        <v>3195.392</v>
      </c>
      <c r="S35" s="785">
        <f t="shared" si="8"/>
        <v>2205.915</v>
      </c>
      <c r="T35" s="785">
        <f t="shared" si="8"/>
        <v>989.477</v>
      </c>
    </row>
    <row r="36" spans="17:20" ht="12.75">
      <c r="Q36" s="352">
        <v>1996</v>
      </c>
      <c r="R36" s="785">
        <f t="shared" si="8"/>
        <v>2879.501</v>
      </c>
      <c r="S36" s="785">
        <f t="shared" si="8"/>
        <v>1924.851</v>
      </c>
      <c r="T36" s="785">
        <f t="shared" si="8"/>
        <v>954.4</v>
      </c>
    </row>
    <row r="37" spans="17:20" ht="12.75">
      <c r="Q37" s="352">
        <v>1997</v>
      </c>
      <c r="R37" s="785">
        <f t="shared" si="8"/>
        <v>3826.8329999999996</v>
      </c>
      <c r="S37" s="785">
        <f t="shared" si="8"/>
        <v>2120.171</v>
      </c>
      <c r="T37" s="785">
        <f t="shared" si="8"/>
        <v>1706.4119999999998</v>
      </c>
    </row>
    <row r="38" spans="17:20" ht="12.75">
      <c r="Q38" s="352">
        <v>1998</v>
      </c>
      <c r="R38" s="785">
        <f t="shared" si="8"/>
        <v>4020.8509999999997</v>
      </c>
      <c r="S38" s="785">
        <f t="shared" si="8"/>
        <v>2022.9019999999998</v>
      </c>
      <c r="T38" s="785">
        <f t="shared" si="8"/>
        <v>1997.649</v>
      </c>
    </row>
    <row r="39" spans="17:20" ht="12.75">
      <c r="Q39" s="352">
        <v>1999</v>
      </c>
      <c r="R39" s="785">
        <f t="shared" si="8"/>
        <v>4317.928999999999</v>
      </c>
      <c r="S39" s="785">
        <f t="shared" si="8"/>
        <v>2242.625</v>
      </c>
      <c r="T39" s="785">
        <f t="shared" si="8"/>
        <v>2074.604</v>
      </c>
    </row>
    <row r="40" spans="17:20" ht="12.75">
      <c r="Q40" s="352">
        <v>2000</v>
      </c>
      <c r="R40" s="785">
        <f t="shared" si="8"/>
        <v>4775.935</v>
      </c>
      <c r="S40" s="785">
        <f t="shared" si="8"/>
        <v>2575.9240000000004</v>
      </c>
      <c r="T40" s="785">
        <f t="shared" si="8"/>
        <v>2199.311</v>
      </c>
    </row>
    <row r="41" spans="17:20" ht="12.75">
      <c r="Q41" s="352">
        <v>2001</v>
      </c>
      <c r="R41" s="785">
        <f t="shared" si="8"/>
        <v>4642.063999999999</v>
      </c>
      <c r="S41" s="785">
        <f t="shared" si="8"/>
        <v>2674.8349999999996</v>
      </c>
      <c r="T41" s="785">
        <f t="shared" si="8"/>
        <v>1966.529</v>
      </c>
    </row>
    <row r="42" spans="17:20" ht="12.75">
      <c r="Q42" s="811">
        <v>2002</v>
      </c>
      <c r="R42" s="785">
        <f t="shared" si="8"/>
        <v>4657.826999999999</v>
      </c>
      <c r="S42" s="785">
        <f t="shared" si="8"/>
        <v>2702.863</v>
      </c>
      <c r="T42" s="785">
        <f t="shared" si="8"/>
        <v>1954.264</v>
      </c>
    </row>
    <row r="43" spans="17:20" ht="12.75">
      <c r="Q43" s="352">
        <v>2003</v>
      </c>
      <c r="R43" s="785">
        <f t="shared" si="8"/>
        <v>4686.394</v>
      </c>
      <c r="S43" s="785">
        <f t="shared" si="8"/>
        <v>2720.2290000000003</v>
      </c>
      <c r="T43" s="785">
        <f t="shared" si="8"/>
        <v>1965.465</v>
      </c>
    </row>
    <row r="44" spans="17:20" ht="12.75">
      <c r="Q44" s="352">
        <v>2004</v>
      </c>
      <c r="R44" s="785">
        <f t="shared" si="8"/>
        <v>4657.315070000001</v>
      </c>
      <c r="S44" s="785">
        <f t="shared" si="8"/>
        <v>2747.272070000001</v>
      </c>
      <c r="T44" s="785">
        <f t="shared" si="8"/>
        <v>1909.343</v>
      </c>
    </row>
    <row r="45" spans="17:20" ht="12.75">
      <c r="Q45" s="352">
        <v>2005</v>
      </c>
      <c r="R45" s="785">
        <f t="shared" si="8"/>
        <v>4798.663</v>
      </c>
      <c r="S45" s="785">
        <f t="shared" si="8"/>
        <v>2918.773</v>
      </c>
      <c r="T45" s="785">
        <f t="shared" si="8"/>
        <v>1879.1899999999998</v>
      </c>
    </row>
    <row r="46" spans="17:20" ht="12.75">
      <c r="Q46" s="352">
        <v>2006</v>
      </c>
      <c r="R46" s="785">
        <f t="shared" si="8"/>
        <v>5064.362</v>
      </c>
      <c r="S46" s="785">
        <f t="shared" si="8"/>
        <v>2926.618</v>
      </c>
      <c r="T46" s="785">
        <f t="shared" si="8"/>
        <v>2137.0440000000003</v>
      </c>
    </row>
    <row r="47" spans="17:20" ht="12.75">
      <c r="Q47" s="811">
        <v>2007</v>
      </c>
      <c r="R47" s="785">
        <f t="shared" si="8"/>
        <v>5532.854999999999</v>
      </c>
      <c r="S47" s="785">
        <f t="shared" si="8"/>
        <v>2939.586999999998</v>
      </c>
      <c r="T47" s="785">
        <f t="shared" si="8"/>
        <v>2592.5680000000007</v>
      </c>
    </row>
    <row r="48" spans="17:20" ht="12.75">
      <c r="Q48" s="352">
        <v>2008</v>
      </c>
      <c r="R48" s="785">
        <f t="shared" si="8"/>
        <v>5444.215999999999</v>
      </c>
      <c r="S48" s="785">
        <f t="shared" si="8"/>
        <v>2953.1210000000005</v>
      </c>
      <c r="T48" s="785">
        <f t="shared" si="8"/>
        <v>2490.3949999999995</v>
      </c>
    </row>
    <row r="49" spans="17:20" ht="12.75">
      <c r="Q49" s="352">
        <v>2009</v>
      </c>
      <c r="R49" s="785">
        <f t="shared" si="8"/>
        <v>6246.409000000001</v>
      </c>
      <c r="S49" s="785">
        <f t="shared" si="8"/>
        <v>3037.1620000000003</v>
      </c>
      <c r="T49" s="785">
        <f t="shared" si="8"/>
        <v>3208.547</v>
      </c>
    </row>
    <row r="50" spans="17:20" ht="12.75">
      <c r="Q50" s="352">
        <v>2010</v>
      </c>
      <c r="R50" s="785">
        <f t="shared" si="8"/>
        <v>6875.038000000001</v>
      </c>
      <c r="S50" s="352">
        <f t="shared" si="8"/>
        <v>3237.361000000001</v>
      </c>
      <c r="T50" s="352">
        <f t="shared" si="8"/>
        <v>3636.9770000000008</v>
      </c>
    </row>
    <row r="51" spans="17:20" ht="12.75">
      <c r="Q51" s="352">
        <v>2011</v>
      </c>
      <c r="R51" s="785">
        <f t="shared" si="8"/>
        <v>6867.821000000001</v>
      </c>
      <c r="S51" s="352">
        <f t="shared" si="8"/>
        <v>3246.6250000000005</v>
      </c>
      <c r="T51" s="352">
        <f t="shared" si="8"/>
        <v>3620.4960000000005</v>
      </c>
    </row>
    <row r="52" spans="17:21" ht="12.75">
      <c r="Q52" s="352">
        <v>2012</v>
      </c>
      <c r="R52" s="785">
        <f t="shared" si="8"/>
        <v>7754.905</v>
      </c>
      <c r="S52" s="352">
        <f t="shared" si="8"/>
        <v>3270.5969999999998</v>
      </c>
      <c r="T52" s="352">
        <f t="shared" si="8"/>
        <v>4403.608</v>
      </c>
      <c r="U52" s="352">
        <f>K25</f>
        <v>80</v>
      </c>
    </row>
    <row r="53" spans="17:21" ht="12.75">
      <c r="Q53" s="352">
        <v>2013</v>
      </c>
      <c r="R53" s="785">
        <f t="shared" si="8"/>
        <v>8680.421</v>
      </c>
      <c r="S53" s="352">
        <f t="shared" si="8"/>
        <v>3337.0359999999996</v>
      </c>
      <c r="T53" s="352">
        <f t="shared" si="8"/>
        <v>5262.6849999999995</v>
      </c>
      <c r="U53" s="352">
        <f>K26</f>
        <v>80</v>
      </c>
    </row>
    <row r="54" spans="17:22" ht="12.75">
      <c r="Q54" s="352">
        <v>2014</v>
      </c>
      <c r="R54" s="785">
        <f>H27</f>
        <v>9082.800000000003</v>
      </c>
      <c r="S54" s="352">
        <f>I27</f>
        <v>3435.9410000000007</v>
      </c>
      <c r="T54" s="352">
        <f>J27</f>
        <v>5408.1590000000015</v>
      </c>
      <c r="U54" s="352">
        <f>K27</f>
        <v>96</v>
      </c>
      <c r="V54" s="352">
        <f>L27</f>
        <v>142.7</v>
      </c>
    </row>
    <row r="58" ht="12.75">
      <c r="R58" s="352" t="s">
        <v>47</v>
      </c>
    </row>
    <row r="59" spans="18:20" ht="12.75">
      <c r="R59" s="352" t="s">
        <v>0</v>
      </c>
      <c r="S59" s="352" t="s">
        <v>4</v>
      </c>
      <c r="T59" s="352" t="s">
        <v>5</v>
      </c>
    </row>
    <row r="60" spans="17:20" ht="12.75">
      <c r="Q60" s="352">
        <v>1995</v>
      </c>
      <c r="R60" s="785">
        <f aca="true" t="shared" si="9" ref="R60:T78">M8</f>
        <v>880.016</v>
      </c>
      <c r="S60" s="785">
        <f t="shared" si="9"/>
        <v>268.97</v>
      </c>
      <c r="T60" s="785">
        <f t="shared" si="9"/>
        <v>611.0459999999999</v>
      </c>
    </row>
    <row r="61" spans="17:20" ht="12.75">
      <c r="Q61" s="352">
        <v>1996</v>
      </c>
      <c r="R61" s="785">
        <f t="shared" si="9"/>
        <v>1123.7</v>
      </c>
      <c r="S61" s="785">
        <f t="shared" si="9"/>
        <v>277.026</v>
      </c>
      <c r="T61" s="785">
        <f t="shared" si="9"/>
        <v>846.6740000000001</v>
      </c>
    </row>
    <row r="62" spans="17:20" ht="12.75">
      <c r="Q62" s="352">
        <v>1997</v>
      </c>
      <c r="R62" s="785">
        <f t="shared" si="9"/>
        <v>754.1859999999999</v>
      </c>
      <c r="S62" s="785">
        <f t="shared" si="9"/>
        <v>90.733</v>
      </c>
      <c r="T62" s="785">
        <f t="shared" si="9"/>
        <v>663.453</v>
      </c>
    </row>
    <row r="63" spans="17:20" ht="12.75">
      <c r="Q63" s="352">
        <v>1998</v>
      </c>
      <c r="R63" s="785">
        <f t="shared" si="9"/>
        <v>760.8299999999999</v>
      </c>
      <c r="S63" s="785">
        <f t="shared" si="9"/>
        <v>93.96700000000001</v>
      </c>
      <c r="T63" s="785">
        <f t="shared" si="9"/>
        <v>666.8629999999999</v>
      </c>
    </row>
    <row r="64" spans="17:20" ht="12.75">
      <c r="Q64" s="352">
        <v>1999</v>
      </c>
      <c r="R64" s="785">
        <f t="shared" si="9"/>
        <v>798.227</v>
      </c>
      <c r="S64" s="785">
        <f t="shared" si="9"/>
        <v>75.48299999999999</v>
      </c>
      <c r="T64" s="785">
        <f t="shared" si="9"/>
        <v>722.744</v>
      </c>
    </row>
    <row r="65" spans="17:20" ht="12.75">
      <c r="Q65" s="352">
        <v>2000</v>
      </c>
      <c r="R65" s="785">
        <f t="shared" si="9"/>
        <v>778.9110000000001</v>
      </c>
      <c r="S65" s="785">
        <f t="shared" si="9"/>
        <v>74.971</v>
      </c>
      <c r="T65" s="785">
        <f t="shared" si="9"/>
        <v>703.94</v>
      </c>
    </row>
    <row r="66" spans="17:20" ht="12.75">
      <c r="Q66" s="352">
        <v>2001</v>
      </c>
      <c r="R66" s="785">
        <f t="shared" si="9"/>
        <v>745.1130000000002</v>
      </c>
      <c r="S66" s="785">
        <f t="shared" si="9"/>
        <v>69.66799999999999</v>
      </c>
      <c r="T66" s="785">
        <f t="shared" si="9"/>
        <v>675.4450000000002</v>
      </c>
    </row>
    <row r="67" spans="17:20" ht="12.75">
      <c r="Q67" s="811">
        <v>2002</v>
      </c>
      <c r="R67" s="785">
        <f t="shared" si="9"/>
        <v>737.8420000000006</v>
      </c>
      <c r="S67" s="785">
        <f t="shared" si="9"/>
        <v>72.419</v>
      </c>
      <c r="T67" s="785">
        <f t="shared" si="9"/>
        <v>665.4230000000006</v>
      </c>
    </row>
    <row r="68" spans="17:20" ht="12.75">
      <c r="Q68" s="352">
        <v>2003</v>
      </c>
      <c r="R68" s="785">
        <f t="shared" si="9"/>
        <v>735.4130000000004</v>
      </c>
      <c r="S68" s="785">
        <f t="shared" si="9"/>
        <v>70.04399999999998</v>
      </c>
      <c r="T68" s="785">
        <f t="shared" si="9"/>
        <v>665.3690000000004</v>
      </c>
    </row>
    <row r="69" spans="17:20" ht="12.75">
      <c r="Q69" s="352">
        <v>2004</v>
      </c>
      <c r="R69" s="785">
        <f t="shared" si="9"/>
        <v>760.6440000000003</v>
      </c>
      <c r="S69" s="785">
        <f t="shared" si="9"/>
        <v>67.732</v>
      </c>
      <c r="T69" s="785">
        <f t="shared" si="9"/>
        <v>692.9120000000004</v>
      </c>
    </row>
    <row r="70" spans="17:20" ht="12.75">
      <c r="Q70" s="352">
        <v>2005</v>
      </c>
      <c r="R70" s="785">
        <f t="shared" si="9"/>
        <v>812.2620000000004</v>
      </c>
      <c r="S70" s="785">
        <f t="shared" si="9"/>
        <v>70.43</v>
      </c>
      <c r="T70" s="785">
        <f t="shared" si="9"/>
        <v>741.8320000000003</v>
      </c>
    </row>
    <row r="71" spans="17:20" ht="12.75">
      <c r="Q71" s="352">
        <v>2006</v>
      </c>
      <c r="R71" s="785">
        <f t="shared" si="9"/>
        <v>809.038</v>
      </c>
      <c r="S71" s="785">
        <f t="shared" si="9"/>
        <v>69.356</v>
      </c>
      <c r="T71" s="785">
        <f t="shared" si="9"/>
        <v>739.682</v>
      </c>
    </row>
    <row r="72" spans="17:20" ht="12.75">
      <c r="Q72" s="811">
        <v>2007</v>
      </c>
      <c r="R72" s="785">
        <f t="shared" si="9"/>
        <v>819.1590000000001</v>
      </c>
      <c r="S72" s="785">
        <f t="shared" si="9"/>
        <v>73.71099999999998</v>
      </c>
      <c r="T72" s="785">
        <f t="shared" si="9"/>
        <v>745.4480000000001</v>
      </c>
    </row>
    <row r="73" spans="17:20" ht="12.75">
      <c r="Q73" s="352">
        <v>2008</v>
      </c>
      <c r="R73" s="785">
        <f t="shared" si="9"/>
        <v>904.728</v>
      </c>
      <c r="S73" s="785">
        <f t="shared" si="9"/>
        <v>74.78099999999998</v>
      </c>
      <c r="T73" s="785">
        <f t="shared" si="9"/>
        <v>829.947</v>
      </c>
    </row>
    <row r="74" spans="17:20" ht="12.75">
      <c r="Q74" s="352">
        <v>2009</v>
      </c>
      <c r="R74" s="785">
        <f t="shared" si="9"/>
        <v>1009.9380000000001</v>
      </c>
      <c r="S74" s="785">
        <f t="shared" si="9"/>
        <v>78.606</v>
      </c>
      <c r="T74" s="785">
        <f t="shared" si="9"/>
        <v>931.3320000000001</v>
      </c>
    </row>
    <row r="75" spans="17:20" ht="12.75">
      <c r="Q75" s="811">
        <v>2010</v>
      </c>
      <c r="R75" s="352">
        <f t="shared" si="9"/>
        <v>1125.3490000000004</v>
      </c>
      <c r="S75" s="352">
        <f t="shared" si="9"/>
        <v>80.084</v>
      </c>
      <c r="T75" s="352">
        <f t="shared" si="9"/>
        <v>1045.2650000000003</v>
      </c>
    </row>
    <row r="76" spans="17:20" ht="12.75">
      <c r="Q76" s="352">
        <v>2011</v>
      </c>
      <c r="R76" s="352">
        <f t="shared" si="9"/>
        <v>1177.712</v>
      </c>
      <c r="S76" s="352">
        <f t="shared" si="9"/>
        <v>81.999</v>
      </c>
      <c r="T76" s="352">
        <f t="shared" si="9"/>
        <v>1095.713</v>
      </c>
    </row>
    <row r="77" spans="17:20" ht="12.75">
      <c r="Q77" s="811">
        <v>2012</v>
      </c>
      <c r="R77" s="352">
        <f t="shared" si="9"/>
        <v>1184.352</v>
      </c>
      <c r="S77" s="352">
        <f t="shared" si="9"/>
        <v>89.53900000000002</v>
      </c>
      <c r="T77" s="352">
        <f t="shared" si="9"/>
        <v>1094.813</v>
      </c>
    </row>
    <row r="78" spans="17:20" ht="12.75">
      <c r="Q78" s="811">
        <v>2013</v>
      </c>
      <c r="R78" s="352">
        <f t="shared" si="9"/>
        <v>1204.851</v>
      </c>
      <c r="S78" s="352">
        <f t="shared" si="9"/>
        <v>77.372</v>
      </c>
      <c r="T78" s="352">
        <f t="shared" si="9"/>
        <v>1127.479</v>
      </c>
    </row>
    <row r="79" spans="17:20" ht="12.75">
      <c r="Q79" s="811">
        <v>2014</v>
      </c>
      <c r="R79" s="352">
        <f>M27</f>
        <v>1186.5420000000001</v>
      </c>
      <c r="S79" s="352">
        <f>N27</f>
        <v>91.34699999999998</v>
      </c>
      <c r="T79" s="352">
        <f>O27</f>
        <v>1095.1950000000002</v>
      </c>
    </row>
  </sheetData>
  <sheetProtection/>
  <mergeCells count="1">
    <mergeCell ref="B1:O1"/>
  </mergeCells>
  <printOptions horizontalCentered="1" verticalCentered="1"/>
  <pageMargins left="0.5118110236220472" right="0.3937007874015748" top="0.3937007874015748" bottom="0.31496062992125984" header="0" footer="0"/>
  <pageSetup fitToHeight="1" fitToWidth="1" horizontalDpi="300" verticalDpi="3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Q38"/>
  <sheetViews>
    <sheetView view="pageBreakPreview" zoomScale="115" zoomScaleNormal="115" zoomScaleSheetLayoutView="115" workbookViewId="0" topLeftCell="A1">
      <selection activeCell="E26" sqref="E26"/>
    </sheetView>
  </sheetViews>
  <sheetFormatPr defaultColWidth="11.421875" defaultRowHeight="12.75"/>
  <cols>
    <col min="1" max="1" width="11.7109375" style="0" customWidth="1"/>
    <col min="14" max="14" width="9.8515625" style="0" customWidth="1"/>
  </cols>
  <sheetData>
    <row r="2" spans="1:14" ht="15.75">
      <c r="A2" s="1213" t="s">
        <v>48</v>
      </c>
      <c r="B2" s="1213"/>
      <c r="C2" s="1213"/>
      <c r="D2" s="1213"/>
      <c r="E2" s="1213"/>
      <c r="F2" s="1213"/>
      <c r="G2" s="1213"/>
      <c r="H2" s="1213"/>
      <c r="I2" s="1213"/>
      <c r="J2" s="1213"/>
      <c r="K2" s="1213"/>
      <c r="L2" s="1213"/>
      <c r="M2" s="1213"/>
      <c r="N2" s="1213"/>
    </row>
    <row r="4" ht="13.5" thickBot="1">
      <c r="P4" t="s">
        <v>225</v>
      </c>
    </row>
    <row r="5" spans="1:17" ht="12.75">
      <c r="A5" s="1078"/>
      <c r="B5" s="1214" t="s">
        <v>34</v>
      </c>
      <c r="C5" s="1215"/>
      <c r="D5" s="1215"/>
      <c r="E5" s="1215"/>
      <c r="F5" s="1215"/>
      <c r="G5" s="1215"/>
      <c r="H5" s="1215"/>
      <c r="I5" s="1215"/>
      <c r="J5" s="1215"/>
      <c r="K5" s="1215"/>
      <c r="L5" s="1215"/>
      <c r="M5" s="1215"/>
      <c r="N5" s="1216"/>
      <c r="P5" t="s">
        <v>226</v>
      </c>
      <c r="Q5">
        <v>0.7</v>
      </c>
    </row>
    <row r="6" spans="1:14" ht="12.75">
      <c r="A6" s="1079" t="s">
        <v>18</v>
      </c>
      <c r="B6" s="1080" t="s">
        <v>14</v>
      </c>
      <c r="C6" s="1080"/>
      <c r="D6" s="1081"/>
      <c r="E6" s="1081"/>
      <c r="F6" s="1080"/>
      <c r="G6" s="1083" t="s">
        <v>15</v>
      </c>
      <c r="H6" s="1080"/>
      <c r="I6" s="1080"/>
      <c r="J6" s="1083" t="s">
        <v>33</v>
      </c>
      <c r="K6" s="1080"/>
      <c r="L6" s="1081"/>
      <c r="M6" s="1081"/>
      <c r="N6" s="1082"/>
    </row>
    <row r="7" spans="1:14" ht="12.75">
      <c r="A7" s="1084"/>
      <c r="B7" s="1085" t="s">
        <v>4</v>
      </c>
      <c r="C7" s="1085" t="s">
        <v>5</v>
      </c>
      <c r="D7" s="1086" t="s">
        <v>59</v>
      </c>
      <c r="E7" s="1086" t="s">
        <v>6</v>
      </c>
      <c r="F7" s="1085" t="s">
        <v>0</v>
      </c>
      <c r="G7" s="1088" t="s">
        <v>4</v>
      </c>
      <c r="H7" s="1085" t="s">
        <v>5</v>
      </c>
      <c r="I7" s="1085" t="s">
        <v>0</v>
      </c>
      <c r="J7" s="1088" t="s">
        <v>4</v>
      </c>
      <c r="K7" s="1085" t="s">
        <v>5</v>
      </c>
      <c r="L7" s="1086" t="s">
        <v>59</v>
      </c>
      <c r="M7" s="1086" t="s">
        <v>6</v>
      </c>
      <c r="N7" s="1087" t="s">
        <v>0</v>
      </c>
    </row>
    <row r="8" spans="1:15" ht="12.75">
      <c r="A8" s="38">
        <v>1960</v>
      </c>
      <c r="B8" s="115">
        <v>221.8</v>
      </c>
      <c r="C8" s="116">
        <v>126.6</v>
      </c>
      <c r="D8" s="556"/>
      <c r="E8" s="556"/>
      <c r="F8" s="115">
        <f aca="true" t="shared" si="0" ref="F8:F13">SUM(B8:E8)</f>
        <v>348.4</v>
      </c>
      <c r="G8" s="119">
        <v>193.7</v>
      </c>
      <c r="H8" s="115">
        <v>236.6</v>
      </c>
      <c r="I8" s="115">
        <f aca="true" t="shared" si="1" ref="I8:I14">SUM(G8:H8)</f>
        <v>430.29999999999995</v>
      </c>
      <c r="J8" s="119">
        <f aca="true" t="shared" si="2" ref="J8:K14">SUM(B8,G8)</f>
        <v>415.5</v>
      </c>
      <c r="K8" s="115">
        <f t="shared" si="2"/>
        <v>363.2</v>
      </c>
      <c r="L8" s="117"/>
      <c r="M8" s="117"/>
      <c r="N8" s="118">
        <f>SUM(J8:L8)</f>
        <v>778.7</v>
      </c>
      <c r="O8" s="6"/>
    </row>
    <row r="9" spans="1:15" ht="12.75">
      <c r="A9" s="38">
        <v>1970</v>
      </c>
      <c r="B9" s="115">
        <v>681.1</v>
      </c>
      <c r="C9" s="116">
        <v>181.5</v>
      </c>
      <c r="D9" s="556"/>
      <c r="E9" s="556"/>
      <c r="F9" s="115">
        <f t="shared" si="0"/>
        <v>862.6</v>
      </c>
      <c r="G9" s="119">
        <v>241.5</v>
      </c>
      <c r="H9" s="115">
        <v>573</v>
      </c>
      <c r="I9" s="115">
        <f t="shared" si="1"/>
        <v>814.5</v>
      </c>
      <c r="J9" s="119">
        <f t="shared" si="2"/>
        <v>922.6</v>
      </c>
      <c r="K9" s="115">
        <f t="shared" si="2"/>
        <v>754.5</v>
      </c>
      <c r="L9" s="117"/>
      <c r="M9" s="117"/>
      <c r="N9" s="118">
        <f>SUM(J9:L9)</f>
        <v>1677.1</v>
      </c>
      <c r="O9" s="6"/>
    </row>
    <row r="10" spans="1:15" ht="12.75">
      <c r="A10" s="38">
        <v>1980</v>
      </c>
      <c r="B10" s="115">
        <v>1613.1</v>
      </c>
      <c r="C10" s="116">
        <v>410.1</v>
      </c>
      <c r="D10" s="556"/>
      <c r="E10" s="556"/>
      <c r="F10" s="115">
        <f t="shared" si="0"/>
        <v>2023.1999999999998</v>
      </c>
      <c r="G10" s="119">
        <v>254.5</v>
      </c>
      <c r="H10" s="115">
        <v>862.5</v>
      </c>
      <c r="I10" s="115">
        <f t="shared" si="1"/>
        <v>1117</v>
      </c>
      <c r="J10" s="119">
        <f t="shared" si="2"/>
        <v>1867.6</v>
      </c>
      <c r="K10" s="115">
        <f t="shared" si="2"/>
        <v>1272.6</v>
      </c>
      <c r="L10" s="117"/>
      <c r="M10" s="117"/>
      <c r="N10" s="118">
        <f>SUM(J10:L10)</f>
        <v>3140.2</v>
      </c>
      <c r="O10" s="6"/>
    </row>
    <row r="11" spans="1:15" ht="12.75">
      <c r="A11" s="38">
        <v>1990</v>
      </c>
      <c r="B11" s="115">
        <v>2119</v>
      </c>
      <c r="C11" s="116">
        <v>722.8</v>
      </c>
      <c r="D11" s="556"/>
      <c r="E11" s="556"/>
      <c r="F11" s="115">
        <f t="shared" si="0"/>
        <v>2841.8</v>
      </c>
      <c r="G11" s="119">
        <v>280.8</v>
      </c>
      <c r="H11" s="115">
        <v>1020.8</v>
      </c>
      <c r="I11" s="115">
        <f t="shared" si="1"/>
        <v>1301.6</v>
      </c>
      <c r="J11" s="119">
        <f t="shared" si="2"/>
        <v>2399.8</v>
      </c>
      <c r="K11" s="115">
        <f t="shared" si="2"/>
        <v>1743.6</v>
      </c>
      <c r="L11" s="117"/>
      <c r="M11" s="117"/>
      <c r="N11" s="118">
        <f>SUM(J11:L11)</f>
        <v>4143.4</v>
      </c>
      <c r="O11" s="6"/>
    </row>
    <row r="12" spans="1:15" ht="12.75">
      <c r="A12" s="38">
        <v>2000</v>
      </c>
      <c r="B12" s="115">
        <v>2779.26</v>
      </c>
      <c r="C12" s="116">
        <v>2368.891</v>
      </c>
      <c r="D12" s="556"/>
      <c r="E12" s="556"/>
      <c r="F12" s="115">
        <f t="shared" si="0"/>
        <v>5148.151</v>
      </c>
      <c r="G12" s="119">
        <v>77.565</v>
      </c>
      <c r="H12" s="115">
        <v>839.773</v>
      </c>
      <c r="I12" s="115">
        <f t="shared" si="1"/>
        <v>917.338</v>
      </c>
      <c r="J12" s="119">
        <f t="shared" si="2"/>
        <v>2856.8250000000003</v>
      </c>
      <c r="K12" s="115">
        <f t="shared" si="2"/>
        <v>3208.664</v>
      </c>
      <c r="L12" s="117"/>
      <c r="M12" s="117"/>
      <c r="N12" s="118">
        <f>SUM(J12:L12)+$Q$5</f>
        <v>6066.189</v>
      </c>
      <c r="O12" s="6"/>
    </row>
    <row r="13" spans="1:15" ht="12.75">
      <c r="A13" s="38">
        <v>2010</v>
      </c>
      <c r="B13" s="115">
        <v>3344.7949999999996</v>
      </c>
      <c r="C13" s="116">
        <v>3963.6709999999966</v>
      </c>
      <c r="D13" s="556"/>
      <c r="E13" s="556"/>
      <c r="F13" s="115">
        <f t="shared" si="0"/>
        <v>7308.465999999997</v>
      </c>
      <c r="G13" s="119">
        <v>92.80699999999997</v>
      </c>
      <c r="H13" s="115">
        <v>1210.5840000000007</v>
      </c>
      <c r="I13" s="115">
        <f t="shared" si="1"/>
        <v>1303.3910000000008</v>
      </c>
      <c r="J13" s="119">
        <f t="shared" si="2"/>
        <v>3437.6019999999994</v>
      </c>
      <c r="K13" s="115">
        <f t="shared" si="2"/>
        <v>5174.254999999997</v>
      </c>
      <c r="L13" s="117"/>
      <c r="M13" s="117"/>
      <c r="N13" s="118">
        <f>SUM(J13:L13)+$Q$5</f>
        <v>8612.556999999997</v>
      </c>
      <c r="O13" s="6"/>
    </row>
    <row r="14" spans="1:15" ht="13.5" thickBot="1">
      <c r="A14" s="39">
        <v>2014</v>
      </c>
      <c r="B14" s="120">
        <v>3558.268999999996</v>
      </c>
      <c r="C14" s="121">
        <v>5942.279000000006</v>
      </c>
      <c r="D14" s="557">
        <v>96</v>
      </c>
      <c r="E14" s="557">
        <v>142.7</v>
      </c>
      <c r="F14" s="120">
        <f>SUM(B14:E14)</f>
        <v>9739.248000000003</v>
      </c>
      <c r="G14" s="124">
        <v>103.59599999999998</v>
      </c>
      <c r="H14" s="120">
        <v>1359.7749999999996</v>
      </c>
      <c r="I14" s="120">
        <f t="shared" si="1"/>
        <v>1463.3709999999996</v>
      </c>
      <c r="J14" s="124">
        <f t="shared" si="2"/>
        <v>3661.864999999996</v>
      </c>
      <c r="K14" s="120">
        <f t="shared" si="2"/>
        <v>7302.0540000000055</v>
      </c>
      <c r="L14" s="122">
        <f>SUM(D14)</f>
        <v>96</v>
      </c>
      <c r="M14" s="122">
        <f>+E14</f>
        <v>142.7</v>
      </c>
      <c r="N14" s="123">
        <f>SUM(J14:M14)</f>
        <v>11202.619000000002</v>
      </c>
      <c r="O14" s="6"/>
    </row>
    <row r="15" spans="1:15" ht="12.75">
      <c r="A15" s="6"/>
      <c r="B15" s="30"/>
      <c r="C15" s="30"/>
      <c r="D15" s="30"/>
      <c r="E15" s="30"/>
      <c r="F15" s="20"/>
      <c r="G15" s="129"/>
      <c r="H15" s="30"/>
      <c r="I15" s="6"/>
      <c r="J15" s="6"/>
      <c r="K15" s="6"/>
      <c r="L15" s="6"/>
      <c r="M15" s="6"/>
      <c r="O15" s="6"/>
    </row>
    <row r="16" ht="13.5" thickBot="1">
      <c r="O16" s="6"/>
    </row>
    <row r="17" spans="1:14" ht="12.75">
      <c r="A17" s="1078"/>
      <c r="B17" s="1214" t="s">
        <v>35</v>
      </c>
      <c r="C17" s="1215"/>
      <c r="D17" s="1215"/>
      <c r="E17" s="1215"/>
      <c r="F17" s="1215"/>
      <c r="G17" s="1215"/>
      <c r="H17" s="1215"/>
      <c r="I17" s="1215"/>
      <c r="J17" s="1215"/>
      <c r="K17" s="1215"/>
      <c r="L17" s="1215"/>
      <c r="M17" s="1215"/>
      <c r="N17" s="1216"/>
    </row>
    <row r="18" spans="1:14" ht="12.75">
      <c r="A18" s="1079" t="s">
        <v>29</v>
      </c>
      <c r="B18" s="1080" t="s">
        <v>14</v>
      </c>
      <c r="C18" s="1080"/>
      <c r="D18" s="1081"/>
      <c r="E18" s="1081"/>
      <c r="F18" s="1080"/>
      <c r="G18" s="1083" t="s">
        <v>15</v>
      </c>
      <c r="H18" s="1080"/>
      <c r="I18" s="1080"/>
      <c r="J18" s="1083" t="s">
        <v>33</v>
      </c>
      <c r="K18" s="1080"/>
      <c r="L18" s="1081"/>
      <c r="M18" s="1081"/>
      <c r="N18" s="1082"/>
    </row>
    <row r="19" spans="1:14" ht="12.75">
      <c r="A19" s="1089"/>
      <c r="B19" s="1085" t="s">
        <v>4</v>
      </c>
      <c r="C19" s="1085" t="s">
        <v>5</v>
      </c>
      <c r="D19" s="1086" t="s">
        <v>59</v>
      </c>
      <c r="E19" s="1086" t="s">
        <v>6</v>
      </c>
      <c r="F19" s="1092" t="s">
        <v>0</v>
      </c>
      <c r="G19" s="1088" t="s">
        <v>4</v>
      </c>
      <c r="H19" s="1085" t="s">
        <v>5</v>
      </c>
      <c r="I19" s="1092" t="s">
        <v>0</v>
      </c>
      <c r="J19" s="1088" t="s">
        <v>4</v>
      </c>
      <c r="K19" s="1085" t="s">
        <v>5</v>
      </c>
      <c r="L19" s="1086" t="s">
        <v>59</v>
      </c>
      <c r="M19" s="1086"/>
      <c r="N19" s="1090" t="s">
        <v>0</v>
      </c>
    </row>
    <row r="20" spans="1:15" ht="12.75">
      <c r="A20" s="138" t="s">
        <v>309</v>
      </c>
      <c r="B20" s="37">
        <f>((B14/B8)-1)*100</f>
        <v>1504.2691614066707</v>
      </c>
      <c r="C20" s="37">
        <f>((C14/C8)-1)*100</f>
        <v>4593.743285939973</v>
      </c>
      <c r="D20" s="37"/>
      <c r="E20" s="37"/>
      <c r="F20" s="37">
        <f aca="true" t="shared" si="3" ref="F20:K20">((F14/F8)-1)*100</f>
        <v>2695.4213547646395</v>
      </c>
      <c r="G20" s="37">
        <f t="shared" si="3"/>
        <v>-46.517294785751176</v>
      </c>
      <c r="H20" s="37">
        <f t="shared" si="3"/>
        <v>474.7147083685544</v>
      </c>
      <c r="I20" s="37">
        <f t="shared" si="3"/>
        <v>240.0815709969788</v>
      </c>
      <c r="J20" s="1091">
        <f t="shared" si="3"/>
        <v>781.3152827918161</v>
      </c>
      <c r="K20" s="37">
        <f t="shared" si="3"/>
        <v>1910.4774229074906</v>
      </c>
      <c r="L20" s="37"/>
      <c r="M20" s="37"/>
      <c r="N20" s="37">
        <f>((N14/N8)-1)*100</f>
        <v>1338.6309233337618</v>
      </c>
      <c r="O20" s="6"/>
    </row>
    <row r="21" spans="1:15" ht="12.75">
      <c r="A21" s="40" t="s">
        <v>30</v>
      </c>
      <c r="B21" s="27">
        <f aca="true" t="shared" si="4" ref="B21:C26">((B9/B8)-1)*100</f>
        <v>207.07844905320107</v>
      </c>
      <c r="C21" s="27">
        <f t="shared" si="4"/>
        <v>43.3649289099526</v>
      </c>
      <c r="D21" s="27"/>
      <c r="E21" s="27"/>
      <c r="F21" s="27">
        <f aca="true" t="shared" si="5" ref="F21:K26">((F9/F8)-1)*100</f>
        <v>147.58897818599314</v>
      </c>
      <c r="G21" s="27">
        <f t="shared" si="5"/>
        <v>24.677336086732062</v>
      </c>
      <c r="H21" s="27">
        <f t="shared" si="5"/>
        <v>142.18089602704987</v>
      </c>
      <c r="I21" s="27">
        <f t="shared" si="5"/>
        <v>89.28654427143856</v>
      </c>
      <c r="J21" s="27">
        <f t="shared" si="5"/>
        <v>122.04572803850783</v>
      </c>
      <c r="K21" s="27">
        <f t="shared" si="5"/>
        <v>107.73678414096919</v>
      </c>
      <c r="L21" s="27"/>
      <c r="M21" s="27"/>
      <c r="N21" s="27">
        <f aca="true" t="shared" si="6" ref="N21:N26">((N9/N8)-1)*100</f>
        <v>115.3717734686015</v>
      </c>
      <c r="O21" s="6"/>
    </row>
    <row r="22" spans="1:15" ht="12.75">
      <c r="A22" s="40" t="s">
        <v>31</v>
      </c>
      <c r="B22" s="27">
        <f t="shared" si="4"/>
        <v>136.8374688004698</v>
      </c>
      <c r="C22" s="27">
        <f t="shared" si="4"/>
        <v>125.95041322314052</v>
      </c>
      <c r="D22" s="27"/>
      <c r="E22" s="27"/>
      <c r="F22" s="27">
        <f t="shared" si="5"/>
        <v>134.54671922095986</v>
      </c>
      <c r="G22" s="27">
        <f t="shared" si="5"/>
        <v>5.3830227743271175</v>
      </c>
      <c r="H22" s="27">
        <f t="shared" si="5"/>
        <v>50.523560209424076</v>
      </c>
      <c r="I22" s="27">
        <f t="shared" si="5"/>
        <v>37.13934929404543</v>
      </c>
      <c r="J22" s="27">
        <f t="shared" si="5"/>
        <v>102.42792109256449</v>
      </c>
      <c r="K22" s="27">
        <f t="shared" si="5"/>
        <v>68.6679920477137</v>
      </c>
      <c r="L22" s="27"/>
      <c r="M22" s="27"/>
      <c r="N22" s="27">
        <f t="shared" si="6"/>
        <v>87.23987836145727</v>
      </c>
      <c r="O22" s="6"/>
    </row>
    <row r="23" spans="1:15" ht="12.75">
      <c r="A23" s="40" t="s">
        <v>32</v>
      </c>
      <c r="B23" s="27">
        <f t="shared" si="4"/>
        <v>31.361973839191638</v>
      </c>
      <c r="C23" s="27">
        <f t="shared" si="4"/>
        <v>76.24969519629357</v>
      </c>
      <c r="D23" s="27"/>
      <c r="E23" s="27"/>
      <c r="F23" s="27">
        <f t="shared" si="5"/>
        <v>40.46065638592331</v>
      </c>
      <c r="G23" s="27">
        <f t="shared" si="5"/>
        <v>10.333988212180746</v>
      </c>
      <c r="H23" s="27">
        <f t="shared" si="5"/>
        <v>18.353623188405788</v>
      </c>
      <c r="I23" s="27">
        <f t="shared" si="5"/>
        <v>16.52641002685764</v>
      </c>
      <c r="J23" s="27">
        <f t="shared" si="5"/>
        <v>28.496466052687964</v>
      </c>
      <c r="K23" s="27">
        <f t="shared" si="5"/>
        <v>37.01084394153702</v>
      </c>
      <c r="L23" s="27"/>
      <c r="M23" s="27"/>
      <c r="N23" s="27">
        <f t="shared" si="6"/>
        <v>31.94700974460225</v>
      </c>
      <c r="O23" s="6"/>
    </row>
    <row r="24" spans="1:15" ht="12.75">
      <c r="A24" s="40" t="s">
        <v>37</v>
      </c>
      <c r="B24" s="27">
        <f t="shared" si="4"/>
        <v>31.15903728173668</v>
      </c>
      <c r="C24" s="27">
        <f t="shared" si="4"/>
        <v>227.73810182623134</v>
      </c>
      <c r="D24" s="27"/>
      <c r="E24" s="27"/>
      <c r="F24" s="27">
        <f t="shared" si="5"/>
        <v>81.15810401857975</v>
      </c>
      <c r="G24" s="27">
        <f t="shared" si="5"/>
        <v>-72.37713675213675</v>
      </c>
      <c r="H24" s="27">
        <f t="shared" si="5"/>
        <v>-17.733836206896548</v>
      </c>
      <c r="I24" s="27">
        <f t="shared" si="5"/>
        <v>-29.522280270436386</v>
      </c>
      <c r="J24" s="27">
        <f t="shared" si="5"/>
        <v>19.044295357946496</v>
      </c>
      <c r="K24" s="27">
        <f t="shared" si="5"/>
        <v>84.02523514567564</v>
      </c>
      <c r="L24" s="27"/>
      <c r="M24" s="27"/>
      <c r="N24" s="27">
        <f t="shared" si="6"/>
        <v>46.40606748081289</v>
      </c>
      <c r="O24" s="6"/>
    </row>
    <row r="25" spans="1:15" ht="12.75">
      <c r="A25" s="40" t="s">
        <v>57</v>
      </c>
      <c r="B25" s="27">
        <f t="shared" si="4"/>
        <v>20.348402092643347</v>
      </c>
      <c r="C25" s="27">
        <f t="shared" si="4"/>
        <v>67.32179741490836</v>
      </c>
      <c r="D25" s="27"/>
      <c r="E25" s="27"/>
      <c r="F25" s="27">
        <f t="shared" si="5"/>
        <v>41.962929991758145</v>
      </c>
      <c r="G25" s="27">
        <f t="shared" si="5"/>
        <v>19.650615612711885</v>
      </c>
      <c r="H25" s="27">
        <f t="shared" si="5"/>
        <v>44.15609932684199</v>
      </c>
      <c r="I25" s="27">
        <f t="shared" si="5"/>
        <v>42.08405189799189</v>
      </c>
      <c r="J25" s="27">
        <f t="shared" si="5"/>
        <v>20.329456652052503</v>
      </c>
      <c r="K25" s="27">
        <f t="shared" si="5"/>
        <v>61.25886038550614</v>
      </c>
      <c r="L25" s="27"/>
      <c r="M25" s="27"/>
      <c r="N25" s="27">
        <f t="shared" si="6"/>
        <v>41.97640396631223</v>
      </c>
      <c r="O25" s="6"/>
    </row>
    <row r="26" spans="1:15" ht="13.5" thickBot="1">
      <c r="A26" s="293" t="s">
        <v>308</v>
      </c>
      <c r="B26" s="28">
        <f t="shared" si="4"/>
        <v>6.382274548963296</v>
      </c>
      <c r="C26" s="28">
        <f t="shared" si="4"/>
        <v>49.9185729592595</v>
      </c>
      <c r="D26" s="1093" t="s">
        <v>77</v>
      </c>
      <c r="E26" s="1093" t="s">
        <v>77</v>
      </c>
      <c r="F26" s="28">
        <f t="shared" si="5"/>
        <v>33.25981129282134</v>
      </c>
      <c r="G26" s="28">
        <f t="shared" si="5"/>
        <v>11.625200685293136</v>
      </c>
      <c r="H26" s="28">
        <f t="shared" si="5"/>
        <v>12.323886653053307</v>
      </c>
      <c r="I26" s="28">
        <f t="shared" si="5"/>
        <v>12.2741372312682</v>
      </c>
      <c r="J26" s="28">
        <f t="shared" si="5"/>
        <v>6.523820965894145</v>
      </c>
      <c r="K26" s="28">
        <f t="shared" si="5"/>
        <v>41.122808984095485</v>
      </c>
      <c r="L26" s="1093" t="s">
        <v>77</v>
      </c>
      <c r="M26" s="1093" t="s">
        <v>77</v>
      </c>
      <c r="N26" s="28">
        <f t="shared" si="6"/>
        <v>30.073089792032803</v>
      </c>
      <c r="O26" s="6"/>
    </row>
    <row r="28" ht="13.5" thickBot="1"/>
    <row r="29" spans="1:14" ht="12.75">
      <c r="A29" s="1078"/>
      <c r="B29" s="1214" t="s">
        <v>36</v>
      </c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6"/>
    </row>
    <row r="30" spans="1:14" ht="12.75">
      <c r="A30" s="1079" t="s">
        <v>29</v>
      </c>
      <c r="B30" s="1080" t="s">
        <v>14</v>
      </c>
      <c r="C30" s="1080"/>
      <c r="D30" s="1081"/>
      <c r="E30" s="1081"/>
      <c r="F30" s="1080"/>
      <c r="G30" s="1083" t="s">
        <v>15</v>
      </c>
      <c r="H30" s="1080"/>
      <c r="I30" s="1080"/>
      <c r="J30" s="1083" t="s">
        <v>33</v>
      </c>
      <c r="K30" s="1080"/>
      <c r="L30" s="1081"/>
      <c r="M30" s="1081"/>
      <c r="N30" s="1082"/>
    </row>
    <row r="31" spans="1:14" ht="12.75">
      <c r="A31" s="1084"/>
      <c r="B31" s="1085" t="s">
        <v>4</v>
      </c>
      <c r="C31" s="1085" t="s">
        <v>5</v>
      </c>
      <c r="D31" s="1086"/>
      <c r="E31" s="1086"/>
      <c r="F31" s="1085" t="s">
        <v>0</v>
      </c>
      <c r="G31" s="1088" t="s">
        <v>4</v>
      </c>
      <c r="H31" s="1085" t="s">
        <v>5</v>
      </c>
      <c r="I31" s="1085" t="s">
        <v>0</v>
      </c>
      <c r="J31" s="1088" t="s">
        <v>4</v>
      </c>
      <c r="K31" s="1085" t="s">
        <v>5</v>
      </c>
      <c r="L31" s="1086"/>
      <c r="M31" s="1086"/>
      <c r="N31" s="1087" t="s">
        <v>0</v>
      </c>
    </row>
    <row r="32" spans="1:15" ht="12.75">
      <c r="A32" s="138" t="s">
        <v>309</v>
      </c>
      <c r="B32" s="37">
        <f>(((B14/B8)^(1/54))-1)*100</f>
        <v>5.273714950013786</v>
      </c>
      <c r="C32" s="37">
        <f>(((C14/C8)^(1/54))-1)*100</f>
        <v>7.387581519849462</v>
      </c>
      <c r="D32" s="37"/>
      <c r="E32" s="37"/>
      <c r="F32" s="37">
        <f aca="true" t="shared" si="7" ref="F32:K32">(((F14/F8)^(1/54))-1)*100</f>
        <v>6.361893619574577</v>
      </c>
      <c r="G32" s="37">
        <f t="shared" si="7"/>
        <v>-1.1522213309824059</v>
      </c>
      <c r="H32" s="37">
        <f t="shared" si="7"/>
        <v>3.2913447884679092</v>
      </c>
      <c r="I32" s="37">
        <f t="shared" si="7"/>
        <v>2.292579770380243</v>
      </c>
      <c r="J32" s="37">
        <f t="shared" si="7"/>
        <v>4.112393659540126</v>
      </c>
      <c r="K32" s="37">
        <f t="shared" si="7"/>
        <v>5.714648566147251</v>
      </c>
      <c r="L32" s="37"/>
      <c r="M32" s="37"/>
      <c r="N32" s="37">
        <f>(((N14/N8)^(1/54))-1)*100</f>
        <v>5.061478266104302</v>
      </c>
      <c r="O32" s="6"/>
    </row>
    <row r="33" spans="1:15" ht="12.75">
      <c r="A33" s="40" t="s">
        <v>30</v>
      </c>
      <c r="B33" s="27">
        <f aca="true" t="shared" si="8" ref="B33:C37">(((B9/B8)^(1/10))-1)*100</f>
        <v>11.87290971639332</v>
      </c>
      <c r="C33" s="27">
        <f t="shared" si="8"/>
        <v>3.6678979101702813</v>
      </c>
      <c r="D33" s="27"/>
      <c r="E33" s="27"/>
      <c r="F33" s="27">
        <f aca="true" t="shared" si="9" ref="F33:K37">(((F9/F8)^(1/10))-1)*100</f>
        <v>9.489665949398884</v>
      </c>
      <c r="G33" s="27">
        <f t="shared" si="9"/>
        <v>2.230091954611302</v>
      </c>
      <c r="H33" s="27">
        <f t="shared" si="9"/>
        <v>9.248124032947613</v>
      </c>
      <c r="I33" s="27">
        <f t="shared" si="9"/>
        <v>6.588898516015185</v>
      </c>
      <c r="J33" s="27">
        <f t="shared" si="9"/>
        <v>8.303936523549037</v>
      </c>
      <c r="K33" s="27">
        <f t="shared" si="9"/>
        <v>7.584904930486114</v>
      </c>
      <c r="L33" s="27"/>
      <c r="M33" s="27"/>
      <c r="N33" s="27">
        <f>(((N9/N8)^(1/10))-1)*100</f>
        <v>7.973922405892719</v>
      </c>
      <c r="O33" s="6"/>
    </row>
    <row r="34" spans="1:15" ht="12.75">
      <c r="A34" s="40" t="s">
        <v>31</v>
      </c>
      <c r="B34" s="27">
        <f t="shared" si="8"/>
        <v>9.004654092260411</v>
      </c>
      <c r="C34" s="27">
        <f t="shared" si="8"/>
        <v>8.492899002521902</v>
      </c>
      <c r="D34" s="27"/>
      <c r="E34" s="27"/>
      <c r="F34" s="27">
        <f t="shared" si="9"/>
        <v>8.898760416146857</v>
      </c>
      <c r="G34" s="27">
        <f t="shared" si="9"/>
        <v>0.525690558311398</v>
      </c>
      <c r="H34" s="27">
        <f t="shared" si="9"/>
        <v>4.174265766629515</v>
      </c>
      <c r="I34" s="27">
        <f t="shared" si="9"/>
        <v>3.2086763931798545</v>
      </c>
      <c r="J34" s="27">
        <f t="shared" si="9"/>
        <v>7.306749977683613</v>
      </c>
      <c r="K34" s="27">
        <f t="shared" si="9"/>
        <v>5.366673061760552</v>
      </c>
      <c r="L34" s="27"/>
      <c r="M34" s="27"/>
      <c r="N34" s="27">
        <f>(((N10/N9)^(1/10))-1)*100</f>
        <v>6.473084346631142</v>
      </c>
      <c r="O34" s="6"/>
    </row>
    <row r="35" spans="1:15" ht="12.75">
      <c r="A35" s="40" t="s">
        <v>32</v>
      </c>
      <c r="B35" s="27">
        <f t="shared" si="8"/>
        <v>2.7654117229987563</v>
      </c>
      <c r="C35" s="27">
        <f t="shared" si="8"/>
        <v>5.830984807177808</v>
      </c>
      <c r="D35" s="27"/>
      <c r="E35" s="27"/>
      <c r="F35" s="27">
        <f t="shared" si="9"/>
        <v>3.455949123444091</v>
      </c>
      <c r="G35" s="27">
        <f t="shared" si="9"/>
        <v>0.9882698102846588</v>
      </c>
      <c r="H35" s="27">
        <f t="shared" si="9"/>
        <v>1.699344983130735</v>
      </c>
      <c r="I35" s="27">
        <f t="shared" si="9"/>
        <v>1.5412339370527661</v>
      </c>
      <c r="J35" s="27">
        <f t="shared" si="9"/>
        <v>2.539009599212516</v>
      </c>
      <c r="K35" s="27">
        <f t="shared" si="9"/>
        <v>3.1990012246224886</v>
      </c>
      <c r="L35" s="27"/>
      <c r="M35" s="27"/>
      <c r="N35" s="27">
        <f>(((N11/N10)^(1/10))-1)*100</f>
        <v>2.811088033757758</v>
      </c>
      <c r="O35" s="6"/>
    </row>
    <row r="36" spans="1:15" ht="12.75">
      <c r="A36" s="40" t="s">
        <v>37</v>
      </c>
      <c r="B36" s="27">
        <f t="shared" si="8"/>
        <v>2.7495248034068</v>
      </c>
      <c r="C36" s="27">
        <f t="shared" si="8"/>
        <v>12.603708387038349</v>
      </c>
      <c r="D36" s="27"/>
      <c r="E36" s="27"/>
      <c r="F36" s="27">
        <f t="shared" si="9"/>
        <v>6.122085639798791</v>
      </c>
      <c r="G36" s="27">
        <f t="shared" si="9"/>
        <v>-12.07206590570815</v>
      </c>
      <c r="H36" s="27">
        <f t="shared" si="9"/>
        <v>-1.933172802782268</v>
      </c>
      <c r="I36" s="27">
        <f t="shared" si="9"/>
        <v>-3.438237438846281</v>
      </c>
      <c r="J36" s="27">
        <f t="shared" si="9"/>
        <v>1.758538042131197</v>
      </c>
      <c r="K36" s="27">
        <f t="shared" si="9"/>
        <v>6.288857326716468</v>
      </c>
      <c r="L36" s="27"/>
      <c r="M36" s="27"/>
      <c r="N36" s="27">
        <f>(((N12/N11)^(1/10))-1)*100</f>
        <v>3.885732787997953</v>
      </c>
      <c r="O36" s="6"/>
    </row>
    <row r="37" spans="1:15" ht="12.75">
      <c r="A37" s="127" t="s">
        <v>57</v>
      </c>
      <c r="B37" s="27">
        <f t="shared" si="8"/>
        <v>1.8694667612960458</v>
      </c>
      <c r="C37" s="27">
        <f t="shared" si="8"/>
        <v>5.282272883063643</v>
      </c>
      <c r="D37" s="27"/>
      <c r="E37" s="27"/>
      <c r="F37" s="27">
        <f t="shared" si="9"/>
        <v>3.566069748522116</v>
      </c>
      <c r="G37" s="27">
        <f t="shared" si="9"/>
        <v>1.8102476241656174</v>
      </c>
      <c r="H37" s="27">
        <f t="shared" si="9"/>
        <v>3.7249662608955347</v>
      </c>
      <c r="I37" s="27">
        <f t="shared" si="9"/>
        <v>3.5749025517304744</v>
      </c>
      <c r="J37" s="27">
        <f t="shared" si="9"/>
        <v>1.867863002019976</v>
      </c>
      <c r="K37" s="27">
        <f t="shared" si="9"/>
        <v>4.894413407263998</v>
      </c>
      <c r="L37" s="27"/>
      <c r="M37" s="27"/>
      <c r="N37" s="27">
        <f>(((N13/N12)^(1/10))-1)*100</f>
        <v>3.5670526720163576</v>
      </c>
      <c r="O37" s="6"/>
    </row>
    <row r="38" spans="1:15" ht="13.5" thickBot="1">
      <c r="A38" s="293" t="s">
        <v>308</v>
      </c>
      <c r="B38" s="28">
        <f>(((B14/B13)^(1/4))-1)*100</f>
        <v>1.5587432297628823</v>
      </c>
      <c r="C38" s="28">
        <f>(((C14/C13)^(1/4))-1)*100</f>
        <v>10.65316993939378</v>
      </c>
      <c r="D38" s="1093" t="s">
        <v>77</v>
      </c>
      <c r="E38" s="1093" t="s">
        <v>77</v>
      </c>
      <c r="F38" s="28">
        <f aca="true" t="shared" si="10" ref="F38:K38">(((F14/F13)^(1/4))-1)*100</f>
        <v>7.44217676061516</v>
      </c>
      <c r="G38" s="28">
        <f t="shared" si="10"/>
        <v>2.787561513810277</v>
      </c>
      <c r="H38" s="28">
        <f t="shared" si="10"/>
        <v>2.9480276806708616</v>
      </c>
      <c r="I38" s="28">
        <f t="shared" si="10"/>
        <v>2.936626597877834</v>
      </c>
      <c r="J38" s="28">
        <f t="shared" si="10"/>
        <v>1.592508509804591</v>
      </c>
      <c r="K38" s="28">
        <f t="shared" si="10"/>
        <v>8.993174798304015</v>
      </c>
      <c r="L38" s="1093" t="s">
        <v>77</v>
      </c>
      <c r="M38" s="1094" t="s">
        <v>77</v>
      </c>
      <c r="N38" s="28">
        <f>(((N14/N13)^(1/4))-1)*100</f>
        <v>6.7940026406699605</v>
      </c>
      <c r="O38" s="6"/>
    </row>
  </sheetData>
  <sheetProtection/>
  <mergeCells count="4">
    <mergeCell ref="A2:N2"/>
    <mergeCell ref="B5:N5"/>
    <mergeCell ref="B17:N17"/>
    <mergeCell ref="B29:N29"/>
  </mergeCells>
  <printOptions/>
  <pageMargins left="0.87" right="0.75" top="0.78" bottom="1" header="0" footer="0"/>
  <pageSetup fitToHeight="1" fitToWidth="1" horizontalDpi="600" verticalDpi="600" orientation="portrait" paperSize="9" scale="54" r:id="rId2"/>
  <ignoredErrors>
    <ignoredError sqref="F8:F1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A95"/>
  <sheetViews>
    <sheetView view="pageBreakPreview" zoomScaleNormal="85" zoomScaleSheetLayoutView="100" zoomScalePageLayoutView="0" workbookViewId="0" topLeftCell="A1">
      <selection activeCell="Q36" sqref="Q36"/>
    </sheetView>
  </sheetViews>
  <sheetFormatPr defaultColWidth="11.421875" defaultRowHeight="12.75"/>
  <cols>
    <col min="1" max="1" width="4.421875" style="352" customWidth="1"/>
    <col min="2" max="2" width="22.140625" style="352" customWidth="1"/>
    <col min="3" max="3" width="10.57421875" style="352" customWidth="1"/>
    <col min="4" max="4" width="9.7109375" style="352" customWidth="1"/>
    <col min="5" max="6" width="9.57421875" style="352" customWidth="1"/>
    <col min="7" max="7" width="8.7109375" style="352" customWidth="1"/>
    <col min="8" max="8" width="9.28125" style="352" customWidth="1"/>
    <col min="9" max="9" width="10.8515625" style="352" customWidth="1"/>
    <col min="10" max="11" width="9.28125" style="352" customWidth="1"/>
    <col min="12" max="12" width="6.421875" style="352" customWidth="1"/>
    <col min="13" max="13" width="8.140625" style="352" customWidth="1"/>
    <col min="14" max="14" width="9.57421875" style="352" customWidth="1"/>
    <col min="15" max="15" width="8.8515625" style="352" customWidth="1"/>
    <col min="16" max="17" width="11.421875" style="352" customWidth="1"/>
    <col min="18" max="18" width="13.7109375" style="352" bestFit="1" customWidth="1"/>
    <col min="19" max="19" width="14.28125" style="352" bestFit="1" customWidth="1"/>
    <col min="20" max="20" width="13.7109375" style="352" bestFit="1" customWidth="1"/>
    <col min="21" max="22" width="11.57421875" style="352" customWidth="1"/>
    <col min="23" max="27" width="11.421875" style="488" customWidth="1"/>
    <col min="28" max="16384" width="11.421875" style="352" customWidth="1"/>
  </cols>
  <sheetData>
    <row r="2" ht="18">
      <c r="A2" s="10" t="s">
        <v>49</v>
      </c>
    </row>
    <row r="3" ht="15" customHeight="1">
      <c r="B3" s="722"/>
    </row>
    <row r="4" spans="1:22" s="488" customFormat="1" ht="11.25" customHeight="1" thickBo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</row>
    <row r="5" spans="1:22" s="488" customFormat="1" ht="15" customHeight="1">
      <c r="A5" s="352"/>
      <c r="B5" s="852"/>
      <c r="C5" s="852"/>
      <c r="D5" s="853" t="s">
        <v>0</v>
      </c>
      <c r="E5" s="854"/>
      <c r="F5" s="854"/>
      <c r="G5" s="855"/>
      <c r="H5" s="854" t="s">
        <v>14</v>
      </c>
      <c r="I5" s="854"/>
      <c r="J5" s="856"/>
      <c r="K5" s="856"/>
      <c r="L5" s="857"/>
      <c r="M5" s="854" t="s">
        <v>15</v>
      </c>
      <c r="N5" s="856"/>
      <c r="O5" s="858"/>
      <c r="P5" s="352"/>
      <c r="Q5" s="352"/>
      <c r="R5" s="352"/>
      <c r="S5" s="352"/>
      <c r="T5" s="352"/>
      <c r="U5" s="352"/>
      <c r="V5" s="352"/>
    </row>
    <row r="6" spans="1:25" s="488" customFormat="1" ht="13.5" thickBot="1">
      <c r="A6" s="352"/>
      <c r="B6" s="859" t="s">
        <v>18</v>
      </c>
      <c r="C6" s="859" t="s">
        <v>0</v>
      </c>
      <c r="D6" s="860" t="s">
        <v>4</v>
      </c>
      <c r="E6" s="861" t="s">
        <v>5</v>
      </c>
      <c r="F6" s="862" t="s">
        <v>59</v>
      </c>
      <c r="G6" s="862" t="s">
        <v>6</v>
      </c>
      <c r="H6" s="862" t="s">
        <v>0</v>
      </c>
      <c r="I6" s="861" t="s">
        <v>4</v>
      </c>
      <c r="J6" s="861" t="s">
        <v>5</v>
      </c>
      <c r="K6" s="861" t="s">
        <v>59</v>
      </c>
      <c r="L6" s="861" t="s">
        <v>6</v>
      </c>
      <c r="M6" s="863" t="s">
        <v>0</v>
      </c>
      <c r="N6" s="864" t="s">
        <v>4</v>
      </c>
      <c r="O6" s="865" t="s">
        <v>5</v>
      </c>
      <c r="P6" s="352"/>
      <c r="Q6" s="352"/>
      <c r="R6" s="352"/>
      <c r="S6" s="352"/>
      <c r="T6" s="352"/>
      <c r="U6" s="352"/>
      <c r="V6" s="352"/>
      <c r="W6" s="866"/>
      <c r="X6" s="866"/>
      <c r="Y6" s="866"/>
    </row>
    <row r="7" spans="1:25" s="488" customFormat="1" ht="12.75">
      <c r="A7" s="352"/>
      <c r="B7" s="867"/>
      <c r="C7" s="868"/>
      <c r="D7" s="869"/>
      <c r="E7" s="870"/>
      <c r="F7" s="871"/>
      <c r="G7" s="872"/>
      <c r="H7" s="873"/>
      <c r="I7" s="789"/>
      <c r="J7" s="789"/>
      <c r="K7" s="789"/>
      <c r="L7" s="790"/>
      <c r="M7" s="791"/>
      <c r="N7" s="789"/>
      <c r="O7" s="793"/>
      <c r="P7" s="352"/>
      <c r="Q7" s="352"/>
      <c r="R7" s="352"/>
      <c r="S7" s="352"/>
      <c r="T7" s="352"/>
      <c r="U7" s="352"/>
      <c r="V7" s="352"/>
      <c r="W7" s="866"/>
      <c r="X7" s="866"/>
      <c r="Y7" s="866"/>
    </row>
    <row r="8" spans="1:25" s="488" customFormat="1" ht="12.75">
      <c r="A8" s="352"/>
      <c r="B8" s="874">
        <v>1995</v>
      </c>
      <c r="C8" s="875">
        <f aca="true" t="shared" si="0" ref="C8:C13">SUM(D8:G8)</f>
        <v>16880.114601</v>
      </c>
      <c r="D8" s="876">
        <f aca="true" t="shared" si="1" ref="D8:E13">(I8+N8)</f>
        <v>12937.553461</v>
      </c>
      <c r="E8" s="877">
        <f t="shared" si="1"/>
        <v>3942.5611400000003</v>
      </c>
      <c r="F8" s="878"/>
      <c r="G8" s="879" t="s">
        <v>7</v>
      </c>
      <c r="H8" s="880">
        <f aca="true" t="shared" si="2" ref="H8:H26">SUM(I8:L8)</f>
        <v>13106.313096999998</v>
      </c>
      <c r="I8" s="881">
        <v>11540.590328999999</v>
      </c>
      <c r="J8" s="881">
        <v>1565.722768</v>
      </c>
      <c r="K8" s="881"/>
      <c r="L8" s="882" t="s">
        <v>289</v>
      </c>
      <c r="M8" s="883">
        <f aca="true" t="shared" si="3" ref="M8:M26">SUM(N8:O8)</f>
        <v>3773.801504</v>
      </c>
      <c r="N8" s="881">
        <v>1396.9631319999999</v>
      </c>
      <c r="O8" s="884">
        <v>2376.838372</v>
      </c>
      <c r="P8" s="352"/>
      <c r="Q8" s="352"/>
      <c r="R8" s="352"/>
      <c r="S8" s="352"/>
      <c r="T8" s="352"/>
      <c r="U8" s="352"/>
      <c r="V8" s="352"/>
      <c r="W8" s="885"/>
      <c r="X8" s="886"/>
      <c r="Y8" s="887"/>
    </row>
    <row r="9" spans="1:25" s="488" customFormat="1" ht="12.75">
      <c r="A9" s="352"/>
      <c r="B9" s="867">
        <v>1996</v>
      </c>
      <c r="C9" s="888">
        <f t="shared" si="0"/>
        <v>17279.812293</v>
      </c>
      <c r="D9" s="869">
        <f t="shared" si="1"/>
        <v>13323.572078</v>
      </c>
      <c r="E9" s="870">
        <f t="shared" si="1"/>
        <v>3955.8302150000004</v>
      </c>
      <c r="F9" s="871"/>
      <c r="G9" s="889">
        <f>+L9</f>
        <v>0.41</v>
      </c>
      <c r="H9" s="871">
        <f t="shared" si="2"/>
        <v>13307.577021</v>
      </c>
      <c r="I9" s="789">
        <v>11847.925377</v>
      </c>
      <c r="J9" s="789">
        <v>1459.2416440000002</v>
      </c>
      <c r="K9" s="789"/>
      <c r="L9" s="890">
        <v>0.41</v>
      </c>
      <c r="M9" s="788">
        <f t="shared" si="3"/>
        <v>3972.2352720000004</v>
      </c>
      <c r="N9" s="789">
        <v>1475.6467010000001</v>
      </c>
      <c r="O9" s="793">
        <v>2496.5885710000002</v>
      </c>
      <c r="P9" s="352"/>
      <c r="Q9" s="352"/>
      <c r="R9" s="352"/>
      <c r="S9" s="352"/>
      <c r="T9" s="352"/>
      <c r="U9" s="352"/>
      <c r="V9" s="352"/>
      <c r="W9" s="885"/>
      <c r="X9" s="886"/>
      <c r="Y9" s="887"/>
    </row>
    <row r="10" spans="1:25" s="488" customFormat="1" ht="12.75">
      <c r="A10" s="352"/>
      <c r="B10" s="874">
        <v>1997</v>
      </c>
      <c r="C10" s="891">
        <f t="shared" si="0"/>
        <v>17953.407575</v>
      </c>
      <c r="D10" s="876">
        <f t="shared" si="1"/>
        <v>13214.529482000002</v>
      </c>
      <c r="E10" s="877">
        <f t="shared" si="1"/>
        <v>4738.322437000001</v>
      </c>
      <c r="F10" s="878"/>
      <c r="G10" s="879">
        <f aca="true" t="shared" si="4" ref="G10:G23">+L10</f>
        <v>0.5556559999999999</v>
      </c>
      <c r="H10" s="880">
        <f t="shared" si="2"/>
        <v>15348.556876000002</v>
      </c>
      <c r="I10" s="881">
        <v>12264.791790000001</v>
      </c>
      <c r="J10" s="881">
        <v>3083.209430000001</v>
      </c>
      <c r="K10" s="881"/>
      <c r="L10" s="882">
        <v>0.5556559999999999</v>
      </c>
      <c r="M10" s="883">
        <f t="shared" si="3"/>
        <v>2604.8506989999996</v>
      </c>
      <c r="N10" s="881">
        <v>949.7376919999999</v>
      </c>
      <c r="O10" s="884">
        <v>1655.113007</v>
      </c>
      <c r="P10" s="352"/>
      <c r="Q10" s="352"/>
      <c r="R10" s="352"/>
      <c r="S10" s="352"/>
      <c r="T10" s="352"/>
      <c r="U10" s="352"/>
      <c r="V10" s="352"/>
      <c r="W10" s="885"/>
      <c r="X10" s="886"/>
      <c r="Y10" s="887"/>
    </row>
    <row r="11" spans="1:25" s="488" customFormat="1" ht="12.75">
      <c r="A11" s="352"/>
      <c r="B11" s="867">
        <v>1998</v>
      </c>
      <c r="C11" s="868">
        <f t="shared" si="0"/>
        <v>18582.538846000003</v>
      </c>
      <c r="D11" s="869">
        <f t="shared" si="1"/>
        <v>13808.285138000003</v>
      </c>
      <c r="E11" s="870">
        <f t="shared" si="1"/>
        <v>4773.727268000001</v>
      </c>
      <c r="F11" s="871"/>
      <c r="G11" s="889">
        <f t="shared" si="4"/>
        <v>0.52644</v>
      </c>
      <c r="H11" s="873">
        <f t="shared" si="2"/>
        <v>16815.936847000004</v>
      </c>
      <c r="I11" s="789">
        <v>13367.193777000002</v>
      </c>
      <c r="J11" s="789">
        <v>3448.21663</v>
      </c>
      <c r="K11" s="789"/>
      <c r="L11" s="892">
        <v>0.52644</v>
      </c>
      <c r="M11" s="791">
        <f t="shared" si="3"/>
        <v>1766.6019990000002</v>
      </c>
      <c r="N11" s="789">
        <v>441.091361</v>
      </c>
      <c r="O11" s="793">
        <v>1325.5106380000002</v>
      </c>
      <c r="P11" s="352"/>
      <c r="Q11" s="352"/>
      <c r="R11" s="352"/>
      <c r="S11" s="352"/>
      <c r="T11" s="352"/>
      <c r="U11" s="352"/>
      <c r="V11" s="352"/>
      <c r="W11" s="885"/>
      <c r="X11" s="886"/>
      <c r="Y11" s="887"/>
    </row>
    <row r="12" spans="1:25" s="488" customFormat="1" ht="12.75">
      <c r="A12" s="352"/>
      <c r="B12" s="874">
        <v>1999</v>
      </c>
      <c r="C12" s="891">
        <f t="shared" si="0"/>
        <v>19049.617396999998</v>
      </c>
      <c r="D12" s="876">
        <f t="shared" si="1"/>
        <v>14540.581285</v>
      </c>
      <c r="E12" s="877">
        <f t="shared" si="1"/>
        <v>4508.411532</v>
      </c>
      <c r="F12" s="878"/>
      <c r="G12" s="879">
        <f t="shared" si="4"/>
        <v>0.62458</v>
      </c>
      <c r="H12" s="880">
        <f t="shared" si="2"/>
        <v>17366.221878</v>
      </c>
      <c r="I12" s="881">
        <v>14110.592026</v>
      </c>
      <c r="J12" s="881">
        <v>3255.005272</v>
      </c>
      <c r="K12" s="881"/>
      <c r="L12" s="882">
        <v>0.62458</v>
      </c>
      <c r="M12" s="883">
        <f t="shared" si="3"/>
        <v>1683.3955190000001</v>
      </c>
      <c r="N12" s="881">
        <v>429.98925900000006</v>
      </c>
      <c r="O12" s="884">
        <v>1253.40626</v>
      </c>
      <c r="P12" s="352"/>
      <c r="Q12" s="352"/>
      <c r="R12" s="352"/>
      <c r="S12" s="352"/>
      <c r="T12" s="352"/>
      <c r="U12" s="352"/>
      <c r="V12" s="352"/>
      <c r="W12" s="885"/>
      <c r="X12" s="886"/>
      <c r="Y12" s="887"/>
    </row>
    <row r="13" spans="1:25" s="488" customFormat="1" ht="12.75">
      <c r="A13" s="352"/>
      <c r="B13" s="867">
        <v>2000</v>
      </c>
      <c r="C13" s="888">
        <f t="shared" si="0"/>
        <v>19922.697338</v>
      </c>
      <c r="D13" s="869">
        <f t="shared" si="1"/>
        <v>16176.051366</v>
      </c>
      <c r="E13" s="870">
        <f t="shared" si="1"/>
        <v>3745.8002719999995</v>
      </c>
      <c r="F13" s="871"/>
      <c r="G13" s="889">
        <f t="shared" si="4"/>
        <v>0.8457</v>
      </c>
      <c r="H13" s="873">
        <f t="shared" si="2"/>
        <v>18327.897719</v>
      </c>
      <c r="I13" s="789">
        <v>15747.323264999999</v>
      </c>
      <c r="J13" s="789">
        <v>2579.7287539999998</v>
      </c>
      <c r="K13" s="789"/>
      <c r="L13" s="892">
        <v>0.8457</v>
      </c>
      <c r="M13" s="791">
        <f t="shared" si="3"/>
        <v>1594.7996189999994</v>
      </c>
      <c r="N13" s="789">
        <v>428.728101</v>
      </c>
      <c r="O13" s="793">
        <v>1166.0715179999995</v>
      </c>
      <c r="P13" s="352"/>
      <c r="Q13" s="352"/>
      <c r="R13" s="352"/>
      <c r="S13" s="352"/>
      <c r="T13" s="352"/>
      <c r="U13" s="352"/>
      <c r="V13" s="352"/>
      <c r="W13" s="885"/>
      <c r="X13" s="886"/>
      <c r="Y13" s="887"/>
    </row>
    <row r="14" spans="1:22" s="488" customFormat="1" ht="12.75">
      <c r="A14" s="352"/>
      <c r="B14" s="893">
        <v>2001</v>
      </c>
      <c r="C14" s="875">
        <f aca="true" t="shared" si="5" ref="C14:C26">SUM(D14:G14)</f>
        <v>20785.725534999998</v>
      </c>
      <c r="D14" s="876">
        <f>(I14+N14)</f>
        <v>17614.760199999997</v>
      </c>
      <c r="E14" s="877">
        <f>(J14+O14)</f>
        <v>3169.738935</v>
      </c>
      <c r="F14" s="878"/>
      <c r="G14" s="879">
        <f t="shared" si="4"/>
        <v>1.2264000000000002</v>
      </c>
      <c r="H14" s="880">
        <f t="shared" si="2"/>
        <v>19214.506641999997</v>
      </c>
      <c r="I14" s="881">
        <v>17188.330774</v>
      </c>
      <c r="J14" s="881">
        <v>2024.9494680000003</v>
      </c>
      <c r="K14" s="881"/>
      <c r="L14" s="882">
        <v>1.2264000000000002</v>
      </c>
      <c r="M14" s="883">
        <f t="shared" si="3"/>
        <v>1571.2188929999998</v>
      </c>
      <c r="N14" s="881">
        <v>426.42942600000003</v>
      </c>
      <c r="O14" s="884">
        <v>1144.7894669999996</v>
      </c>
      <c r="P14" s="352"/>
      <c r="Q14" s="352"/>
      <c r="R14" s="352"/>
      <c r="S14" s="352"/>
      <c r="T14" s="352"/>
      <c r="U14" s="352"/>
      <c r="V14" s="352"/>
    </row>
    <row r="15" spans="2:25" ht="12.75">
      <c r="B15" s="802">
        <v>2002</v>
      </c>
      <c r="C15" s="888">
        <f t="shared" si="5"/>
        <v>21982.323172000008</v>
      </c>
      <c r="D15" s="869">
        <f aca="true" t="shared" si="6" ref="D15:E27">SUM(I15,N15)</f>
        <v>18040.127915000005</v>
      </c>
      <c r="E15" s="870">
        <f t="shared" si="6"/>
        <v>3940.9688570000035</v>
      </c>
      <c r="F15" s="870"/>
      <c r="G15" s="894">
        <f t="shared" si="4"/>
        <v>1.2264000000000002</v>
      </c>
      <c r="H15" s="871">
        <f t="shared" si="2"/>
        <v>20419.508673000004</v>
      </c>
      <c r="I15" s="895">
        <v>17638.158238000004</v>
      </c>
      <c r="J15" s="895">
        <v>2780.1240350000003</v>
      </c>
      <c r="K15" s="895"/>
      <c r="L15" s="892">
        <v>1.2264000000000002</v>
      </c>
      <c r="M15" s="791">
        <f t="shared" si="3"/>
        <v>1562.8144990000035</v>
      </c>
      <c r="N15" s="789">
        <v>401.9696770000001</v>
      </c>
      <c r="O15" s="793">
        <v>1160.8448220000034</v>
      </c>
      <c r="W15" s="885"/>
      <c r="X15" s="886"/>
      <c r="Y15" s="887"/>
    </row>
    <row r="16" spans="2:25" ht="12.75">
      <c r="B16" s="893">
        <v>2003</v>
      </c>
      <c r="C16" s="875">
        <f t="shared" si="5"/>
        <v>22923.353873999997</v>
      </c>
      <c r="D16" s="876">
        <f t="shared" si="6"/>
        <v>18533.720860999994</v>
      </c>
      <c r="E16" s="877">
        <f t="shared" si="6"/>
        <v>4388.406613000003</v>
      </c>
      <c r="F16" s="877"/>
      <c r="G16" s="896">
        <f t="shared" si="4"/>
        <v>1.2264000000000002</v>
      </c>
      <c r="H16" s="878">
        <f t="shared" si="2"/>
        <v>21361.462929999994</v>
      </c>
      <c r="I16" s="897">
        <v>18118.333137999995</v>
      </c>
      <c r="J16" s="897">
        <v>3241.9033919999997</v>
      </c>
      <c r="K16" s="897"/>
      <c r="L16" s="882">
        <v>1.2264000000000002</v>
      </c>
      <c r="M16" s="883">
        <f t="shared" si="3"/>
        <v>1561.8909440000034</v>
      </c>
      <c r="N16" s="881">
        <v>415.38772300000005</v>
      </c>
      <c r="O16" s="884">
        <v>1146.5032210000034</v>
      </c>
      <c r="W16" s="885"/>
      <c r="X16" s="886"/>
      <c r="Y16" s="887"/>
    </row>
    <row r="17" spans="2:25" ht="12.75">
      <c r="B17" s="802">
        <v>2004</v>
      </c>
      <c r="C17" s="888">
        <f t="shared" si="5"/>
        <v>24267.012071000005</v>
      </c>
      <c r="D17" s="869">
        <f t="shared" si="6"/>
        <v>17525.338961000005</v>
      </c>
      <c r="E17" s="870">
        <f t="shared" si="6"/>
        <v>6740.446710000001</v>
      </c>
      <c r="F17" s="870"/>
      <c r="G17" s="894">
        <f t="shared" si="4"/>
        <v>1.2264000000000002</v>
      </c>
      <c r="H17" s="871">
        <f t="shared" si="2"/>
        <v>22619.938791000004</v>
      </c>
      <c r="I17" s="895">
        <v>17100.664633000004</v>
      </c>
      <c r="J17" s="895">
        <v>5518.047758000001</v>
      </c>
      <c r="K17" s="895"/>
      <c r="L17" s="892">
        <v>1.2264000000000002</v>
      </c>
      <c r="M17" s="791">
        <f t="shared" si="3"/>
        <v>1647.0732800000003</v>
      </c>
      <c r="N17" s="789">
        <v>424.674328</v>
      </c>
      <c r="O17" s="793">
        <v>1222.3989520000002</v>
      </c>
      <c r="W17" s="885"/>
      <c r="X17" s="886"/>
      <c r="Y17" s="887"/>
    </row>
    <row r="18" spans="2:25" ht="12.75">
      <c r="B18" s="893">
        <v>2005</v>
      </c>
      <c r="C18" s="875">
        <f t="shared" si="5"/>
        <v>25509.736815000004</v>
      </c>
      <c r="D18" s="876">
        <f t="shared" si="6"/>
        <v>17976.993336</v>
      </c>
      <c r="E18" s="877">
        <f t="shared" si="6"/>
        <v>7531.517079000003</v>
      </c>
      <c r="F18" s="877"/>
      <c r="G18" s="896">
        <f t="shared" si="4"/>
        <v>1.2264000000000002</v>
      </c>
      <c r="H18" s="878">
        <f t="shared" si="2"/>
        <v>23810.874944792748</v>
      </c>
      <c r="I18" s="897">
        <v>17567.10537779275</v>
      </c>
      <c r="J18" s="897">
        <v>6242.543167</v>
      </c>
      <c r="K18" s="897"/>
      <c r="L18" s="882">
        <v>1.2264000000000002</v>
      </c>
      <c r="M18" s="883">
        <f t="shared" si="3"/>
        <v>1698.861870207253</v>
      </c>
      <c r="N18" s="881">
        <v>409.88795820724977</v>
      </c>
      <c r="O18" s="884">
        <v>1288.9739120000033</v>
      </c>
      <c r="W18" s="885"/>
      <c r="X18" s="886"/>
      <c r="Y18" s="887"/>
    </row>
    <row r="19" spans="2:25" ht="12.75">
      <c r="B19" s="898">
        <v>2006</v>
      </c>
      <c r="C19" s="888">
        <f>SUM(D19:G19)</f>
        <v>27369.828727579996</v>
      </c>
      <c r="D19" s="869">
        <f t="shared" si="6"/>
        <v>19594.347163999995</v>
      </c>
      <c r="E19" s="870">
        <f t="shared" si="6"/>
        <v>7774.255163580001</v>
      </c>
      <c r="F19" s="870"/>
      <c r="G19" s="894">
        <f t="shared" si="4"/>
        <v>1.2264000000000002</v>
      </c>
      <c r="H19" s="871">
        <f t="shared" si="2"/>
        <v>25613.763789958582</v>
      </c>
      <c r="I19" s="895">
        <v>19160.75164295858</v>
      </c>
      <c r="J19" s="895">
        <v>6451.785747000001</v>
      </c>
      <c r="K19" s="895"/>
      <c r="L19" s="892">
        <v>1.2264000000000002</v>
      </c>
      <c r="M19" s="791">
        <f t="shared" si="3"/>
        <v>1756.064937621414</v>
      </c>
      <c r="N19" s="789">
        <v>433.59552104141386</v>
      </c>
      <c r="O19" s="793">
        <v>1322.4694165800001</v>
      </c>
      <c r="W19" s="885"/>
      <c r="X19" s="886"/>
      <c r="Y19" s="887"/>
    </row>
    <row r="20" spans="2:25" ht="12.75">
      <c r="B20" s="820">
        <v>2007</v>
      </c>
      <c r="C20" s="891">
        <f t="shared" si="5"/>
        <v>29943.047142000003</v>
      </c>
      <c r="D20" s="876">
        <f t="shared" si="6"/>
        <v>19548.782020000002</v>
      </c>
      <c r="E20" s="876">
        <f t="shared" si="6"/>
        <v>10393.038722000001</v>
      </c>
      <c r="F20" s="876"/>
      <c r="G20" s="896">
        <f t="shared" si="4"/>
        <v>1.2264000000000002</v>
      </c>
      <c r="H20" s="878">
        <f t="shared" si="2"/>
        <v>28200.49109034</v>
      </c>
      <c r="I20" s="897">
        <v>19107.19396634</v>
      </c>
      <c r="J20" s="897">
        <v>9092.070724000001</v>
      </c>
      <c r="K20" s="897"/>
      <c r="L20" s="882">
        <v>1.2264000000000002</v>
      </c>
      <c r="M20" s="883">
        <f t="shared" si="3"/>
        <v>1742.5560516600003</v>
      </c>
      <c r="N20" s="881">
        <v>441.58805366</v>
      </c>
      <c r="O20" s="884">
        <v>1300.9679980000003</v>
      </c>
      <c r="W20" s="885"/>
      <c r="X20" s="886"/>
      <c r="Y20" s="887"/>
    </row>
    <row r="21" spans="2:25" ht="12.75">
      <c r="B21" s="899">
        <v>2008</v>
      </c>
      <c r="C21" s="900">
        <f t="shared" si="5"/>
        <v>32463.106282999997</v>
      </c>
      <c r="D21" s="901">
        <f t="shared" si="6"/>
        <v>19059.617748999997</v>
      </c>
      <c r="E21" s="901">
        <f t="shared" si="6"/>
        <v>13402.262134</v>
      </c>
      <c r="F21" s="901"/>
      <c r="G21" s="902">
        <f t="shared" si="4"/>
        <v>1.2264000000000004</v>
      </c>
      <c r="H21" s="903">
        <f t="shared" si="2"/>
        <v>30574.711256</v>
      </c>
      <c r="I21" s="904">
        <v>18607.792106999997</v>
      </c>
      <c r="J21" s="904">
        <v>11965.692749000002</v>
      </c>
      <c r="K21" s="904"/>
      <c r="L21" s="905">
        <v>1.2264000000000004</v>
      </c>
      <c r="M21" s="906">
        <f t="shared" si="3"/>
        <v>1888.3950269999998</v>
      </c>
      <c r="N21" s="907">
        <v>451.825642</v>
      </c>
      <c r="O21" s="908">
        <v>1436.5693849999998</v>
      </c>
      <c r="W21" s="885"/>
      <c r="X21" s="886"/>
      <c r="Y21" s="887"/>
    </row>
    <row r="22" spans="2:25" ht="12.75">
      <c r="B22" s="820">
        <v>2009</v>
      </c>
      <c r="C22" s="891">
        <f t="shared" si="5"/>
        <v>32944.735820999995</v>
      </c>
      <c r="D22" s="876">
        <f t="shared" si="6"/>
        <v>19903.776404</v>
      </c>
      <c r="E22" s="876">
        <f t="shared" si="6"/>
        <v>13039.733016999999</v>
      </c>
      <c r="F22" s="876"/>
      <c r="G22" s="896">
        <f t="shared" si="4"/>
        <v>1.2264000000000002</v>
      </c>
      <c r="H22" s="878">
        <f t="shared" si="2"/>
        <v>30921.902782999998</v>
      </c>
      <c r="I22" s="897">
        <v>19419.221612</v>
      </c>
      <c r="J22" s="897">
        <v>11501.454770999999</v>
      </c>
      <c r="K22" s="897"/>
      <c r="L22" s="882">
        <v>1.2264000000000002</v>
      </c>
      <c r="M22" s="883">
        <f t="shared" si="3"/>
        <v>2022.8330380000002</v>
      </c>
      <c r="N22" s="881">
        <v>484.5547920000001</v>
      </c>
      <c r="O22" s="884">
        <v>1538.278246</v>
      </c>
      <c r="W22" s="885"/>
      <c r="X22" s="886"/>
      <c r="Y22" s="887"/>
    </row>
    <row r="23" spans="2:25" ht="12.75">
      <c r="B23" s="899">
        <v>2010</v>
      </c>
      <c r="C23" s="900">
        <f t="shared" si="5"/>
        <v>35908.0079412</v>
      </c>
      <c r="D23" s="901">
        <f t="shared" si="6"/>
        <v>20052.1292802</v>
      </c>
      <c r="E23" s="901">
        <f t="shared" si="6"/>
        <v>15854.652261</v>
      </c>
      <c r="F23" s="901"/>
      <c r="G23" s="902">
        <f t="shared" si="4"/>
        <v>1.2264000000000002</v>
      </c>
      <c r="H23" s="903">
        <f t="shared" si="2"/>
        <v>33545.81580719999</v>
      </c>
      <c r="I23" s="904">
        <v>19567.4046092</v>
      </c>
      <c r="J23" s="907">
        <v>13977.184797999998</v>
      </c>
      <c r="K23" s="907"/>
      <c r="L23" s="905">
        <v>1.2264000000000002</v>
      </c>
      <c r="M23" s="906">
        <f t="shared" si="3"/>
        <v>2362.192134</v>
      </c>
      <c r="N23" s="907">
        <v>484.72467099999994</v>
      </c>
      <c r="O23" s="908">
        <v>1877.467463</v>
      </c>
      <c r="S23" s="352" t="s">
        <v>4</v>
      </c>
      <c r="T23" s="352" t="s">
        <v>5</v>
      </c>
      <c r="U23" s="909" t="s">
        <v>59</v>
      </c>
      <c r="V23" s="910" t="s">
        <v>6</v>
      </c>
      <c r="W23" s="885"/>
      <c r="X23" s="886"/>
      <c r="Y23" s="887"/>
    </row>
    <row r="24" spans="2:27" s="609" customFormat="1" ht="12.75">
      <c r="B24" s="820">
        <v>2011</v>
      </c>
      <c r="C24" s="891">
        <f t="shared" si="5"/>
        <v>38806.46124400891</v>
      </c>
      <c r="D24" s="876">
        <f t="shared" si="6"/>
        <v>21557.326716785243</v>
      </c>
      <c r="E24" s="876">
        <f t="shared" si="6"/>
        <v>17247.90812722367</v>
      </c>
      <c r="F24" s="876"/>
      <c r="G24" s="896">
        <f>+L24</f>
        <v>1.2264000000000004</v>
      </c>
      <c r="H24" s="878">
        <f>SUM(I24:L24)</f>
        <v>36248.53229023524</v>
      </c>
      <c r="I24" s="897">
        <v>21027.418404235243</v>
      </c>
      <c r="J24" s="881">
        <v>15219.887485999998</v>
      </c>
      <c r="K24" s="881"/>
      <c r="L24" s="882">
        <v>1.2264000000000004</v>
      </c>
      <c r="M24" s="883">
        <f>SUM(N24:O24)</f>
        <v>2557.9289537736718</v>
      </c>
      <c r="N24" s="881">
        <v>529.90831255</v>
      </c>
      <c r="O24" s="884">
        <v>2028.0206412236719</v>
      </c>
      <c r="R24" s="352">
        <v>1995</v>
      </c>
      <c r="S24" s="911">
        <f aca="true" t="shared" si="7" ref="S24:V43">D8</f>
        <v>12937.553461</v>
      </c>
      <c r="T24" s="911">
        <f t="shared" si="7"/>
        <v>3942.5611400000003</v>
      </c>
      <c r="U24" s="352"/>
      <c r="W24" s="885"/>
      <c r="X24" s="886"/>
      <c r="Y24" s="887"/>
      <c r="Z24" s="488"/>
      <c r="AA24" s="488"/>
    </row>
    <row r="25" spans="2:27" s="609" customFormat="1" ht="12.75">
      <c r="B25" s="899">
        <v>2012</v>
      </c>
      <c r="C25" s="900">
        <f t="shared" si="5"/>
        <v>41035.9830732079</v>
      </c>
      <c r="D25" s="901">
        <f t="shared" si="6"/>
        <v>22031.93804599997</v>
      </c>
      <c r="E25" s="901">
        <f t="shared" si="6"/>
        <v>18943.13564040793</v>
      </c>
      <c r="F25" s="902">
        <f>+K25</f>
        <v>59.6829868</v>
      </c>
      <c r="G25" s="902">
        <f>+L25</f>
        <v>1.2264000000000002</v>
      </c>
      <c r="H25" s="903">
        <f t="shared" si="2"/>
        <v>38361.02934079995</v>
      </c>
      <c r="I25" s="904">
        <v>21490.80766299997</v>
      </c>
      <c r="J25" s="907">
        <v>16809.312290999984</v>
      </c>
      <c r="K25" s="907">
        <v>59.6829868</v>
      </c>
      <c r="L25" s="905">
        <v>1.2264000000000002</v>
      </c>
      <c r="M25" s="906">
        <f t="shared" si="3"/>
        <v>2674.9537324079465</v>
      </c>
      <c r="N25" s="907">
        <v>541.130383</v>
      </c>
      <c r="O25" s="908">
        <v>2133.8233494079464</v>
      </c>
      <c r="R25" s="352">
        <v>1996</v>
      </c>
      <c r="S25" s="911">
        <f t="shared" si="7"/>
        <v>13323.572078</v>
      </c>
      <c r="T25" s="911">
        <f t="shared" si="7"/>
        <v>3955.8302150000004</v>
      </c>
      <c r="U25" s="352"/>
      <c r="W25" s="885"/>
      <c r="X25" s="886"/>
      <c r="Y25" s="887"/>
      <c r="Z25" s="488"/>
      <c r="AA25" s="488"/>
    </row>
    <row r="26" spans="2:27" s="609" customFormat="1" ht="12.75">
      <c r="B26" s="820">
        <v>2013</v>
      </c>
      <c r="C26" s="891">
        <f t="shared" si="5"/>
        <v>43330.17796048538</v>
      </c>
      <c r="D26" s="876">
        <f t="shared" si="6"/>
        <v>22319.562549983006</v>
      </c>
      <c r="E26" s="876">
        <f t="shared" si="6"/>
        <v>20812.461130502368</v>
      </c>
      <c r="F26" s="896">
        <f>+K26</f>
        <v>196.92788000000002</v>
      </c>
      <c r="G26" s="896">
        <f>+L26</f>
        <v>1.2264000000000002</v>
      </c>
      <c r="H26" s="878">
        <f t="shared" si="2"/>
        <v>40664.66641917897</v>
      </c>
      <c r="I26" s="897">
        <v>21709.38468342714</v>
      </c>
      <c r="J26" s="881">
        <v>18757.127455751826</v>
      </c>
      <c r="K26" s="881">
        <v>196.92788000000002</v>
      </c>
      <c r="L26" s="882">
        <v>1.2264000000000002</v>
      </c>
      <c r="M26" s="883">
        <f t="shared" si="3"/>
        <v>2665.5115413064063</v>
      </c>
      <c r="N26" s="881">
        <v>610.1778665558659</v>
      </c>
      <c r="O26" s="884">
        <v>2055.3336747505405</v>
      </c>
      <c r="R26" s="352">
        <v>1997</v>
      </c>
      <c r="S26" s="911">
        <f t="shared" si="7"/>
        <v>13214.529482000002</v>
      </c>
      <c r="T26" s="911">
        <f t="shared" si="7"/>
        <v>4738.322437000001</v>
      </c>
      <c r="U26" s="352"/>
      <c r="W26" s="885"/>
      <c r="X26" s="886"/>
      <c r="Y26" s="887"/>
      <c r="Z26" s="488"/>
      <c r="AA26" s="488"/>
    </row>
    <row r="27" spans="2:27" s="609" customFormat="1" ht="12.75">
      <c r="B27" s="899">
        <v>2014</v>
      </c>
      <c r="C27" s="900">
        <f>SUM(D27:G27)</f>
        <v>45549.819572254804</v>
      </c>
      <c r="D27" s="901">
        <f t="shared" si="6"/>
        <v>22210.65948789465</v>
      </c>
      <c r="E27" s="901">
        <f t="shared" si="6"/>
        <v>22882.315829837717</v>
      </c>
      <c r="F27" s="902">
        <f>+K27</f>
        <v>199.3035969455375</v>
      </c>
      <c r="G27" s="902">
        <f>+L27</f>
        <v>257.5406575769008</v>
      </c>
      <c r="H27" s="903">
        <f>SUM(I27:L27)</f>
        <v>42846.24772912101</v>
      </c>
      <c r="I27" s="904">
        <v>21610.924675940143</v>
      </c>
      <c r="J27" s="907">
        <v>20778.478798658423</v>
      </c>
      <c r="K27" s="907">
        <v>199.3035969455375</v>
      </c>
      <c r="L27" s="905">
        <v>257.5406575769008</v>
      </c>
      <c r="M27" s="906">
        <f>SUM(N27:O27)</f>
        <v>2703.5718431337973</v>
      </c>
      <c r="N27" s="907">
        <v>599.7348119545052</v>
      </c>
      <c r="O27" s="908">
        <v>2103.8370311792924</v>
      </c>
      <c r="R27" s="352">
        <v>1998</v>
      </c>
      <c r="S27" s="911">
        <f t="shared" si="7"/>
        <v>13808.285138000003</v>
      </c>
      <c r="T27" s="911">
        <f t="shared" si="7"/>
        <v>4773.727268000001</v>
      </c>
      <c r="U27" s="352"/>
      <c r="W27" s="885"/>
      <c r="X27" s="886"/>
      <c r="Y27" s="887"/>
      <c r="Z27" s="488"/>
      <c r="AA27" s="488"/>
    </row>
    <row r="28" spans="1:27" s="909" customFormat="1" ht="13.5" thickBot="1">
      <c r="A28" s="609"/>
      <c r="B28" s="899"/>
      <c r="C28" s="900"/>
      <c r="D28" s="901"/>
      <c r="E28" s="901"/>
      <c r="F28" s="901"/>
      <c r="G28" s="902"/>
      <c r="H28" s="903"/>
      <c r="I28" s="904"/>
      <c r="J28" s="907"/>
      <c r="K28" s="907"/>
      <c r="L28" s="905"/>
      <c r="M28" s="906"/>
      <c r="N28" s="907"/>
      <c r="O28" s="908"/>
      <c r="R28" s="352">
        <v>1999</v>
      </c>
      <c r="S28" s="911">
        <f t="shared" si="7"/>
        <v>14540.581285</v>
      </c>
      <c r="T28" s="911">
        <f t="shared" si="7"/>
        <v>4508.411532</v>
      </c>
      <c r="U28" s="352"/>
      <c r="V28" s="352"/>
      <c r="W28" s="885"/>
      <c r="X28" s="886"/>
      <c r="Y28" s="887"/>
      <c r="Z28" s="488"/>
      <c r="AA28" s="488"/>
    </row>
    <row r="29" spans="2:20" ht="12.75" customHeight="1">
      <c r="B29" s="912" t="s">
        <v>273</v>
      </c>
      <c r="C29" s="913">
        <f>(C27/C26)-1</f>
        <v>0.051226228837407684</v>
      </c>
      <c r="D29" s="914">
        <f>(D27/D26)-1</f>
        <v>-0.004879265077193051</v>
      </c>
      <c r="E29" s="915">
        <f>(E27/E26)-1</f>
        <v>0.09945266378428474</v>
      </c>
      <c r="F29" s="914">
        <f>(F27/F26)-1</f>
        <v>0.012063893368158274</v>
      </c>
      <c r="G29" s="916" t="s">
        <v>77</v>
      </c>
      <c r="H29" s="913">
        <f>(H27/H26)-1</f>
        <v>0.05364808080444816</v>
      </c>
      <c r="I29" s="917">
        <f>(I27/I26)-1</f>
        <v>-0.004535366106537375</v>
      </c>
      <c r="J29" s="915">
        <f>(J27/J26)-1</f>
        <v>0.10776444035340571</v>
      </c>
      <c r="K29" s="918"/>
      <c r="L29" s="919"/>
      <c r="M29" s="913">
        <f>(M27/M26)-1</f>
        <v>0.014278798361059497</v>
      </c>
      <c r="N29" s="917">
        <f>(N27/N26)-1</f>
        <v>-0.017114771239255644</v>
      </c>
      <c r="O29" s="915">
        <f>(O27/O26)-1</f>
        <v>0.023598774751082185</v>
      </c>
      <c r="R29" s="352">
        <v>2000</v>
      </c>
      <c r="S29" s="911">
        <f t="shared" si="7"/>
        <v>16176.051366</v>
      </c>
      <c r="T29" s="911">
        <f t="shared" si="7"/>
        <v>3745.8002719999995</v>
      </c>
    </row>
    <row r="30" spans="2:20" ht="12.75" customHeight="1">
      <c r="B30" s="920" t="s">
        <v>274</v>
      </c>
      <c r="C30" s="921">
        <f>((C27/C22)^(1/5))-1</f>
        <v>0.06694031698910341</v>
      </c>
      <c r="D30" s="922">
        <f>((D27/D22)^(1/5))-1</f>
        <v>0.022174856483065275</v>
      </c>
      <c r="E30" s="923">
        <f>((E27/E22)^(1/5))-1</f>
        <v>0.11904166090989698</v>
      </c>
      <c r="F30" s="924" t="s">
        <v>77</v>
      </c>
      <c r="G30" s="925" t="s">
        <v>77</v>
      </c>
      <c r="H30" s="921">
        <f>((H27/H22)^(1/5))-1</f>
        <v>0.06740520642838566</v>
      </c>
      <c r="I30" s="922">
        <f>((I27/I22)^(1/5))-1</f>
        <v>0.021617459271805473</v>
      </c>
      <c r="J30" s="923">
        <f>((J27/J22)^(1/5))-1</f>
        <v>0.12556918478895818</v>
      </c>
      <c r="K30" s="926"/>
      <c r="L30" s="927"/>
      <c r="M30" s="921">
        <f>((M27/M22)^(1/5))-1</f>
        <v>0.05973084507690363</v>
      </c>
      <c r="N30" s="922">
        <f>((N27/N22)^(1/5))-1</f>
        <v>0.04357405461404684</v>
      </c>
      <c r="O30" s="923">
        <f>((O27/O22)^(1/5))-1</f>
        <v>0.06462200711368338</v>
      </c>
      <c r="R30" s="352">
        <v>2001</v>
      </c>
      <c r="S30" s="911">
        <f t="shared" si="7"/>
        <v>17614.760199999997</v>
      </c>
      <c r="T30" s="911">
        <f t="shared" si="7"/>
        <v>3169.738935</v>
      </c>
    </row>
    <row r="31" spans="1:22" s="488" customFormat="1" ht="12.75" customHeight="1">
      <c r="A31" s="352"/>
      <c r="B31" s="928" t="s">
        <v>275</v>
      </c>
      <c r="C31" s="929">
        <f>(C27/C17)-1</f>
        <v>0.8770262873313752</v>
      </c>
      <c r="D31" s="930">
        <f>(D27/D17)-1</f>
        <v>0.26734550112389366</v>
      </c>
      <c r="E31" s="931">
        <f>(E27/E17)-1</f>
        <v>2.3947773514609856</v>
      </c>
      <c r="F31" s="932" t="s">
        <v>77</v>
      </c>
      <c r="G31" s="933" t="s">
        <v>77</v>
      </c>
      <c r="H31" s="929">
        <f>(H27/H17)-1</f>
        <v>0.8941805335993493</v>
      </c>
      <c r="I31" s="930">
        <f>(I27/I17)-1</f>
        <v>0.2637476460556081</v>
      </c>
      <c r="J31" s="931">
        <f>(J27/J17)-1</f>
        <v>2.7655489241705147</v>
      </c>
      <c r="K31" s="926"/>
      <c r="L31" s="927"/>
      <c r="M31" s="929">
        <f>(M27/M17)-1</f>
        <v>0.6414399261785102</v>
      </c>
      <c r="N31" s="930">
        <f>(N27/N17)-1</f>
        <v>0.41222290214468815</v>
      </c>
      <c r="O31" s="931">
        <f>(O27/O17)-1</f>
        <v>0.7210723452741408</v>
      </c>
      <c r="P31" s="352"/>
      <c r="Q31" s="352"/>
      <c r="R31" s="352">
        <v>2002</v>
      </c>
      <c r="S31" s="911">
        <f t="shared" si="7"/>
        <v>18040.127915000005</v>
      </c>
      <c r="T31" s="911">
        <f t="shared" si="7"/>
        <v>3940.9688570000035</v>
      </c>
      <c r="U31" s="352"/>
      <c r="V31" s="352"/>
    </row>
    <row r="32" spans="1:22" s="488" customFormat="1" ht="12.75" customHeight="1" thickBot="1">
      <c r="A32" s="352"/>
      <c r="B32" s="934" t="s">
        <v>276</v>
      </c>
      <c r="C32" s="935">
        <f>((C27/C17)^(1/10))-1</f>
        <v>0.0649936921156804</v>
      </c>
      <c r="D32" s="936">
        <f>((D27/D17)^(1/10))-1</f>
        <v>0.023975351620930008</v>
      </c>
      <c r="E32" s="937">
        <f>((E27/E17)^(1/10))-1</f>
        <v>0.13000698910665576</v>
      </c>
      <c r="F32" s="938" t="s">
        <v>77</v>
      </c>
      <c r="G32" s="939" t="s">
        <v>77</v>
      </c>
      <c r="H32" s="935">
        <f>((H27/H17)^(1/10))-1</f>
        <v>0.06596301592882559</v>
      </c>
      <c r="I32" s="936">
        <f>((I27/I17)^(1/10))-1</f>
        <v>0.023684284201329175</v>
      </c>
      <c r="J32" s="937">
        <f>((J27/J17)^(1/10))-1</f>
        <v>0.14178104647561907</v>
      </c>
      <c r="K32" s="926"/>
      <c r="L32" s="927"/>
      <c r="M32" s="935">
        <f>((M27/M17)^(1/10))-1</f>
        <v>0.05080589207185948</v>
      </c>
      <c r="N32" s="936">
        <f>((N27/N17)^(1/10))-1</f>
        <v>0.03511910659505668</v>
      </c>
      <c r="O32" s="937">
        <f>((O27/O17)^(1/10))-1</f>
        <v>0.05579575770255607</v>
      </c>
      <c r="P32" s="352"/>
      <c r="Q32" s="352"/>
      <c r="R32" s="352">
        <v>2003</v>
      </c>
      <c r="S32" s="911">
        <f t="shared" si="7"/>
        <v>18533.720860999994</v>
      </c>
      <c r="T32" s="911">
        <f t="shared" si="7"/>
        <v>4388.406613000003</v>
      </c>
      <c r="U32" s="352"/>
      <c r="V32" s="352"/>
    </row>
    <row r="33" spans="1:22" s="488" customFormat="1" ht="8.25" customHeight="1">
      <c r="A33" s="352"/>
      <c r="B33" s="940"/>
      <c r="C33" s="926"/>
      <c r="D33" s="926"/>
      <c r="E33" s="926"/>
      <c r="F33" s="926"/>
      <c r="G33" s="927"/>
      <c r="H33" s="926"/>
      <c r="I33" s="926"/>
      <c r="J33" s="926"/>
      <c r="K33" s="926"/>
      <c r="L33" s="927"/>
      <c r="M33" s="926"/>
      <c r="N33" s="926"/>
      <c r="O33" s="926"/>
      <c r="P33" s="352"/>
      <c r="Q33" s="352"/>
      <c r="R33" s="352">
        <v>2004</v>
      </c>
      <c r="S33" s="911">
        <f t="shared" si="7"/>
        <v>17525.338961000005</v>
      </c>
      <c r="T33" s="911">
        <f t="shared" si="7"/>
        <v>6740.446710000001</v>
      </c>
      <c r="U33" s="352"/>
      <c r="V33" s="352"/>
    </row>
    <row r="34" spans="1:22" s="488" customFormat="1" ht="12.75">
      <c r="A34" s="352"/>
      <c r="B34" s="697"/>
      <c r="C34" s="941"/>
      <c r="D34" s="352"/>
      <c r="E34" s="352"/>
      <c r="F34" s="352"/>
      <c r="G34" s="352"/>
      <c r="H34" s="352"/>
      <c r="I34" s="352"/>
      <c r="J34" s="352"/>
      <c r="K34" s="609"/>
      <c r="L34" s="352"/>
      <c r="M34" s="352"/>
      <c r="N34" s="352"/>
      <c r="O34" s="352"/>
      <c r="P34" s="352"/>
      <c r="Q34" s="352"/>
      <c r="R34" s="352">
        <v>2005</v>
      </c>
      <c r="S34" s="911">
        <f t="shared" si="7"/>
        <v>17976.993336</v>
      </c>
      <c r="T34" s="911">
        <f t="shared" si="7"/>
        <v>7531.517079000003</v>
      </c>
      <c r="U34" s="352"/>
      <c r="V34" s="352"/>
    </row>
    <row r="35" spans="1:22" s="488" customFormat="1" ht="12.75">
      <c r="A35" s="352"/>
      <c r="B35" s="942"/>
      <c r="C35" s="941"/>
      <c r="D35" s="352"/>
      <c r="E35" s="352"/>
      <c r="F35" s="352"/>
      <c r="G35" s="352"/>
      <c r="H35" s="352"/>
      <c r="I35" s="352"/>
      <c r="J35" s="352"/>
      <c r="K35" s="609"/>
      <c r="L35" s="352"/>
      <c r="M35" s="352"/>
      <c r="N35" s="352"/>
      <c r="O35" s="352"/>
      <c r="P35" s="352"/>
      <c r="Q35" s="352"/>
      <c r="R35" s="352">
        <v>2006</v>
      </c>
      <c r="S35" s="911">
        <f t="shared" si="7"/>
        <v>19594.347163999995</v>
      </c>
      <c r="T35" s="911">
        <f t="shared" si="7"/>
        <v>7774.255163580001</v>
      </c>
      <c r="U35" s="352"/>
      <c r="V35" s="352"/>
    </row>
    <row r="36" spans="1:22" s="488" customFormat="1" ht="12.75">
      <c r="A36" s="352"/>
      <c r="B36" s="943"/>
      <c r="C36" s="941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811">
        <v>2007</v>
      </c>
      <c r="S36" s="911">
        <f t="shared" si="7"/>
        <v>19548.782020000002</v>
      </c>
      <c r="T36" s="911">
        <f t="shared" si="7"/>
        <v>10393.038722000001</v>
      </c>
      <c r="U36" s="352"/>
      <c r="V36" s="352"/>
    </row>
    <row r="37" spans="1:22" s="488" customFormat="1" ht="12.75">
      <c r="A37" s="352"/>
      <c r="B37" s="94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>
        <v>2008</v>
      </c>
      <c r="S37" s="911">
        <f t="shared" si="7"/>
        <v>19059.617748999997</v>
      </c>
      <c r="T37" s="911">
        <f t="shared" si="7"/>
        <v>13402.262134</v>
      </c>
      <c r="U37" s="352"/>
      <c r="V37" s="352"/>
    </row>
    <row r="38" spans="1:22" s="488" customFormat="1" ht="12.75">
      <c r="A38" s="352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>
        <v>2009</v>
      </c>
      <c r="S38" s="911">
        <f t="shared" si="7"/>
        <v>19903.776404</v>
      </c>
      <c r="T38" s="911">
        <f t="shared" si="7"/>
        <v>13039.733016999999</v>
      </c>
      <c r="U38" s="352"/>
      <c r="V38" s="352"/>
    </row>
    <row r="39" spans="1:22" s="488" customFormat="1" ht="12.75">
      <c r="A39" s="352"/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>
        <v>2010</v>
      </c>
      <c r="S39" s="911">
        <f t="shared" si="7"/>
        <v>20052.1292802</v>
      </c>
      <c r="T39" s="911">
        <f t="shared" si="7"/>
        <v>15854.652261</v>
      </c>
      <c r="U39" s="352"/>
      <c r="V39" s="352"/>
    </row>
    <row r="40" spans="1:22" s="488" customFormat="1" ht="12.75">
      <c r="A40" s="352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>
        <v>2011</v>
      </c>
      <c r="S40" s="911">
        <f t="shared" si="7"/>
        <v>21557.326716785243</v>
      </c>
      <c r="T40" s="911">
        <f t="shared" si="7"/>
        <v>17247.90812722367</v>
      </c>
      <c r="U40" s="352"/>
      <c r="V40" s="352"/>
    </row>
    <row r="41" spans="1:22" s="488" customFormat="1" ht="12.75">
      <c r="A41" s="352"/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>
        <v>2012</v>
      </c>
      <c r="S41" s="911">
        <f t="shared" si="7"/>
        <v>22031.93804599997</v>
      </c>
      <c r="T41" s="911">
        <f t="shared" si="7"/>
        <v>18943.13564040793</v>
      </c>
      <c r="U41" s="911">
        <f t="shared" si="7"/>
        <v>59.6829868</v>
      </c>
      <c r="V41" s="911"/>
    </row>
    <row r="42" spans="1:22" s="488" customFormat="1" ht="12.75">
      <c r="A42" s="352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>
        <v>2013</v>
      </c>
      <c r="S42" s="911">
        <f t="shared" si="7"/>
        <v>22319.562549983006</v>
      </c>
      <c r="T42" s="911">
        <f t="shared" si="7"/>
        <v>20812.461130502368</v>
      </c>
      <c r="U42" s="911">
        <f t="shared" si="7"/>
        <v>196.92788000000002</v>
      </c>
      <c r="V42" s="911"/>
    </row>
    <row r="43" spans="1:22" s="488" customFormat="1" ht="12.75">
      <c r="A43" s="352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>
        <v>2014</v>
      </c>
      <c r="S43" s="911">
        <f t="shared" si="7"/>
        <v>22210.65948789465</v>
      </c>
      <c r="T43" s="911">
        <f t="shared" si="7"/>
        <v>22882.315829837717</v>
      </c>
      <c r="U43" s="911">
        <f t="shared" si="7"/>
        <v>199.3035969455375</v>
      </c>
      <c r="V43" s="911">
        <f t="shared" si="7"/>
        <v>257.5406575769008</v>
      </c>
    </row>
    <row r="45" spans="1:26" s="488" customFormat="1" ht="12.75">
      <c r="A45" s="352"/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1217"/>
      <c r="X45" s="1217"/>
      <c r="Y45" s="1217"/>
      <c r="Z45" s="1217"/>
    </row>
    <row r="46" ht="12.75"/>
    <row r="47" spans="1:26" s="488" customFormat="1" ht="12.75">
      <c r="A47" s="352"/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X47" s="944"/>
      <c r="Y47" s="944"/>
      <c r="Z47" s="944"/>
    </row>
    <row r="48" spans="1:26" s="488" customFormat="1" ht="12.75">
      <c r="A48" s="352"/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866"/>
      <c r="X48" s="906"/>
      <c r="Y48" s="906"/>
      <c r="Z48" s="945"/>
    </row>
    <row r="49" spans="1:26" s="488" customFormat="1" ht="12.75">
      <c r="A49" s="352"/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424" t="s">
        <v>288</v>
      </c>
      <c r="T49" s="352"/>
      <c r="U49" s="352"/>
      <c r="V49" s="352"/>
      <c r="W49" s="866"/>
      <c r="X49" s="906"/>
      <c r="Y49" s="906"/>
      <c r="Z49" s="945"/>
    </row>
    <row r="50" spans="1:26" s="488" customFormat="1" ht="12.75">
      <c r="A50" s="352"/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 t="s">
        <v>4</v>
      </c>
      <c r="T50" s="352" t="s">
        <v>5</v>
      </c>
      <c r="U50" s="352" t="s">
        <v>59</v>
      </c>
      <c r="V50" s="352" t="s">
        <v>6</v>
      </c>
      <c r="W50" s="866"/>
      <c r="X50" s="906"/>
      <c r="Y50" s="906"/>
      <c r="Z50" s="945"/>
    </row>
    <row r="51" spans="1:22" s="488" customFormat="1" ht="12.75">
      <c r="A51" s="352"/>
      <c r="B51" s="352"/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>
        <v>1995</v>
      </c>
      <c r="S51" s="911">
        <f aca="true" t="shared" si="8" ref="S51:T70">I8</f>
        <v>11540.590328999999</v>
      </c>
      <c r="T51" s="911">
        <f t="shared" si="8"/>
        <v>1565.722768</v>
      </c>
      <c r="U51" s="352"/>
      <c r="V51" s="352"/>
    </row>
    <row r="52" spans="1:22" s="488" customFormat="1" ht="12.75">
      <c r="A52" s="352"/>
      <c r="B52" s="352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>
        <v>1996</v>
      </c>
      <c r="S52" s="911">
        <f t="shared" si="8"/>
        <v>11847.925377</v>
      </c>
      <c r="T52" s="911">
        <f t="shared" si="8"/>
        <v>1459.2416440000002</v>
      </c>
      <c r="U52" s="352"/>
      <c r="V52" s="352"/>
    </row>
    <row r="53" spans="1:22" s="488" customFormat="1" ht="12.75">
      <c r="A53" s="352"/>
      <c r="B53" s="352"/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>
        <v>1997</v>
      </c>
      <c r="S53" s="911">
        <f t="shared" si="8"/>
        <v>12264.791790000001</v>
      </c>
      <c r="T53" s="911">
        <f t="shared" si="8"/>
        <v>3083.209430000001</v>
      </c>
      <c r="U53" s="352"/>
      <c r="V53" s="352"/>
    </row>
    <row r="54" spans="1:22" s="488" customFormat="1" ht="12.75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>
        <v>1998</v>
      </c>
      <c r="S54" s="911">
        <f t="shared" si="8"/>
        <v>13367.193777000002</v>
      </c>
      <c r="T54" s="911">
        <f t="shared" si="8"/>
        <v>3448.21663</v>
      </c>
      <c r="U54" s="352"/>
      <c r="V54" s="352"/>
    </row>
    <row r="55" spans="1:22" s="488" customFormat="1" ht="12.75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>
        <v>1999</v>
      </c>
      <c r="S55" s="911">
        <f t="shared" si="8"/>
        <v>14110.592026</v>
      </c>
      <c r="T55" s="911">
        <f t="shared" si="8"/>
        <v>3255.005272</v>
      </c>
      <c r="U55" s="352"/>
      <c r="V55" s="352"/>
    </row>
    <row r="56" spans="1:22" s="488" customFormat="1" ht="12.75">
      <c r="A56" s="352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>
        <v>2000</v>
      </c>
      <c r="S56" s="911">
        <f t="shared" si="8"/>
        <v>15747.323264999999</v>
      </c>
      <c r="T56" s="911">
        <f t="shared" si="8"/>
        <v>2579.7287539999998</v>
      </c>
      <c r="U56" s="352"/>
      <c r="V56" s="352"/>
    </row>
    <row r="57" spans="1:22" s="488" customFormat="1" ht="12.75">
      <c r="A57" s="352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>
        <v>2001</v>
      </c>
      <c r="S57" s="911">
        <f t="shared" si="8"/>
        <v>17188.330774</v>
      </c>
      <c r="T57" s="911">
        <f t="shared" si="8"/>
        <v>2024.9494680000003</v>
      </c>
      <c r="U57" s="352"/>
      <c r="V57" s="352"/>
    </row>
    <row r="58" spans="1:22" s="488" customFormat="1" ht="12.75">
      <c r="A58" s="352"/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>
        <v>2002</v>
      </c>
      <c r="S58" s="911">
        <f t="shared" si="8"/>
        <v>17638.158238000004</v>
      </c>
      <c r="T58" s="911">
        <f t="shared" si="8"/>
        <v>2780.1240350000003</v>
      </c>
      <c r="U58" s="352"/>
      <c r="V58" s="352"/>
    </row>
    <row r="59" spans="1:22" s="488" customFormat="1" ht="12.75">
      <c r="A59" s="352"/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>
        <v>2003</v>
      </c>
      <c r="S59" s="911">
        <f t="shared" si="8"/>
        <v>18118.333137999995</v>
      </c>
      <c r="T59" s="911">
        <f t="shared" si="8"/>
        <v>3241.9033919999997</v>
      </c>
      <c r="U59" s="352"/>
      <c r="V59" s="352"/>
    </row>
    <row r="60" spans="1:22" s="488" customFormat="1" ht="12.75">
      <c r="A60" s="352"/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>
        <v>2004</v>
      </c>
      <c r="S60" s="911">
        <f t="shared" si="8"/>
        <v>17100.664633000004</v>
      </c>
      <c r="T60" s="911">
        <f t="shared" si="8"/>
        <v>5518.047758000001</v>
      </c>
      <c r="U60" s="352"/>
      <c r="V60" s="352"/>
    </row>
    <row r="61" spans="1:22" s="488" customFormat="1" ht="12.75">
      <c r="A61" s="352"/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>
        <v>2005</v>
      </c>
      <c r="S61" s="911">
        <f t="shared" si="8"/>
        <v>17567.10537779275</v>
      </c>
      <c r="T61" s="911">
        <f t="shared" si="8"/>
        <v>6242.543167</v>
      </c>
      <c r="U61" s="352"/>
      <c r="V61" s="352"/>
    </row>
    <row r="62" spans="1:22" s="488" customFormat="1" ht="12.75">
      <c r="A62" s="352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>
        <v>2006</v>
      </c>
      <c r="S62" s="911">
        <f t="shared" si="8"/>
        <v>19160.75164295858</v>
      </c>
      <c r="T62" s="911">
        <f t="shared" si="8"/>
        <v>6451.785747000001</v>
      </c>
      <c r="U62" s="352"/>
      <c r="V62" s="352"/>
    </row>
    <row r="63" spans="1:22" s="488" customFormat="1" ht="12.75">
      <c r="A63" s="352"/>
      <c r="B63" s="35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811">
        <v>2007</v>
      </c>
      <c r="S63" s="911">
        <f t="shared" si="8"/>
        <v>19107.19396634</v>
      </c>
      <c r="T63" s="911">
        <f t="shared" si="8"/>
        <v>9092.070724000001</v>
      </c>
      <c r="U63" s="352"/>
      <c r="V63" s="352"/>
    </row>
    <row r="64" spans="1:22" s="488" customFormat="1" ht="12.75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>
        <v>2008</v>
      </c>
      <c r="S64" s="911">
        <f t="shared" si="8"/>
        <v>18607.792106999997</v>
      </c>
      <c r="T64" s="911">
        <f t="shared" si="8"/>
        <v>11965.692749000002</v>
      </c>
      <c r="U64" s="352"/>
      <c r="V64" s="352"/>
    </row>
    <row r="65" spans="1:22" s="488" customFormat="1" ht="12.75">
      <c r="A65" s="352"/>
      <c r="B65" s="352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>
        <v>2009</v>
      </c>
      <c r="S65" s="911">
        <f t="shared" si="8"/>
        <v>19419.221612</v>
      </c>
      <c r="T65" s="911">
        <f t="shared" si="8"/>
        <v>11501.454770999999</v>
      </c>
      <c r="U65" s="352"/>
      <c r="V65" s="352"/>
    </row>
    <row r="66" spans="1:22" s="488" customFormat="1" ht="12.75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>
        <v>2010</v>
      </c>
      <c r="S66" s="911">
        <f t="shared" si="8"/>
        <v>19567.4046092</v>
      </c>
      <c r="T66" s="911">
        <f t="shared" si="8"/>
        <v>13977.184797999998</v>
      </c>
      <c r="U66" s="352"/>
      <c r="V66" s="352"/>
    </row>
    <row r="67" spans="1:22" s="488" customFormat="1" ht="12.75">
      <c r="A67" s="352"/>
      <c r="B67" s="352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>
        <v>2011</v>
      </c>
      <c r="S67" s="911">
        <f t="shared" si="8"/>
        <v>21027.418404235243</v>
      </c>
      <c r="T67" s="911">
        <f t="shared" si="8"/>
        <v>15219.887485999998</v>
      </c>
      <c r="U67" s="352"/>
      <c r="V67" s="352"/>
    </row>
    <row r="68" spans="1:22" s="488" customFormat="1" ht="12.75">
      <c r="A68" s="352"/>
      <c r="B68" s="352"/>
      <c r="C68" s="352"/>
      <c r="D68" s="352"/>
      <c r="E68" s="352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52">
        <v>2012</v>
      </c>
      <c r="S68" s="911">
        <f t="shared" si="8"/>
        <v>21490.80766299997</v>
      </c>
      <c r="T68" s="911">
        <f t="shared" si="8"/>
        <v>16809.312290999984</v>
      </c>
      <c r="U68" s="911">
        <f>K25</f>
        <v>59.6829868</v>
      </c>
      <c r="V68" s="352"/>
    </row>
    <row r="69" spans="1:22" s="488" customFormat="1" ht="12.75">
      <c r="A69" s="352"/>
      <c r="B69" s="352"/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2">
        <v>2013</v>
      </c>
      <c r="S69" s="911">
        <f t="shared" si="8"/>
        <v>21709.38468342714</v>
      </c>
      <c r="T69" s="911">
        <f t="shared" si="8"/>
        <v>18757.127455751826</v>
      </c>
      <c r="U69" s="911">
        <f>K26</f>
        <v>196.92788000000002</v>
      </c>
      <c r="V69" s="352"/>
    </row>
    <row r="70" spans="1:22" s="488" customFormat="1" ht="12.75">
      <c r="A70" s="352"/>
      <c r="B70" s="352"/>
      <c r="C70" s="352"/>
      <c r="D70" s="352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2"/>
      <c r="P70" s="352"/>
      <c r="Q70" s="352"/>
      <c r="R70" s="352">
        <v>2014</v>
      </c>
      <c r="S70" s="911">
        <f t="shared" si="8"/>
        <v>21610.924675940143</v>
      </c>
      <c r="T70" s="911">
        <f t="shared" si="8"/>
        <v>20778.478798658423</v>
      </c>
      <c r="U70" s="911">
        <f>K27</f>
        <v>199.3035969455375</v>
      </c>
      <c r="V70" s="911">
        <f>L27</f>
        <v>257.5406575769008</v>
      </c>
    </row>
    <row r="74" spans="1:22" s="488" customFormat="1" ht="12.75">
      <c r="A74" s="352"/>
      <c r="B74" s="352"/>
      <c r="C74" s="352"/>
      <c r="D74" s="352"/>
      <c r="E74" s="352"/>
      <c r="F74" s="352"/>
      <c r="G74" s="352"/>
      <c r="H74" s="352"/>
      <c r="I74" s="352"/>
      <c r="J74" s="352"/>
      <c r="K74" s="352"/>
      <c r="L74" s="352"/>
      <c r="M74" s="352"/>
      <c r="N74" s="352"/>
      <c r="O74" s="352"/>
      <c r="P74" s="352"/>
      <c r="Q74" s="352"/>
      <c r="R74" s="352"/>
      <c r="S74" s="424" t="s">
        <v>47</v>
      </c>
      <c r="T74" s="352"/>
      <c r="U74" s="352"/>
      <c r="V74" s="352"/>
    </row>
    <row r="75" spans="1:22" s="488" customFormat="1" ht="12.75">
      <c r="A75" s="352"/>
      <c r="B75" s="352"/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 t="s">
        <v>4</v>
      </c>
      <c r="T75" s="352" t="s">
        <v>5</v>
      </c>
      <c r="U75" s="352"/>
      <c r="V75" s="352"/>
    </row>
    <row r="76" spans="1:22" s="488" customFormat="1" ht="12.75">
      <c r="A76" s="352"/>
      <c r="B76" s="352"/>
      <c r="C76" s="352"/>
      <c r="D76" s="352"/>
      <c r="E76" s="352"/>
      <c r="F76" s="352"/>
      <c r="G76" s="352"/>
      <c r="H76" s="352"/>
      <c r="I76" s="352"/>
      <c r="J76" s="352"/>
      <c r="K76" s="352"/>
      <c r="L76" s="352"/>
      <c r="M76" s="352"/>
      <c r="N76" s="352"/>
      <c r="O76" s="352"/>
      <c r="P76" s="352"/>
      <c r="Q76" s="352"/>
      <c r="R76" s="352">
        <v>1995</v>
      </c>
      <c r="S76" s="911">
        <f aca="true" t="shared" si="9" ref="S76:T94">N8</f>
        <v>1396.9631319999999</v>
      </c>
      <c r="T76" s="911">
        <f t="shared" si="9"/>
        <v>2376.838372</v>
      </c>
      <c r="U76" s="352"/>
      <c r="V76" s="352"/>
    </row>
    <row r="77" spans="1:22" s="488" customFormat="1" ht="12.75">
      <c r="A77" s="352"/>
      <c r="B77" s="352"/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352">
        <v>1996</v>
      </c>
      <c r="S77" s="911">
        <f t="shared" si="9"/>
        <v>1475.6467010000001</v>
      </c>
      <c r="T77" s="911">
        <f t="shared" si="9"/>
        <v>2496.5885710000002</v>
      </c>
      <c r="U77" s="352"/>
      <c r="V77" s="352"/>
    </row>
    <row r="78" spans="1:22" s="488" customFormat="1" ht="12.75">
      <c r="A78" s="352"/>
      <c r="B78" s="352"/>
      <c r="C78" s="352"/>
      <c r="D78" s="352"/>
      <c r="E78" s="352"/>
      <c r="F78" s="352"/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352"/>
      <c r="R78" s="352">
        <v>1997</v>
      </c>
      <c r="S78" s="911">
        <f t="shared" si="9"/>
        <v>949.7376919999999</v>
      </c>
      <c r="T78" s="911">
        <f t="shared" si="9"/>
        <v>1655.113007</v>
      </c>
      <c r="U78" s="352"/>
      <c r="V78" s="352"/>
    </row>
    <row r="79" spans="18:20" ht="12.75">
      <c r="R79" s="352">
        <v>1998</v>
      </c>
      <c r="S79" s="911">
        <f t="shared" si="9"/>
        <v>441.091361</v>
      </c>
      <c r="T79" s="911">
        <f t="shared" si="9"/>
        <v>1325.5106380000002</v>
      </c>
    </row>
    <row r="80" spans="18:20" ht="12.75">
      <c r="R80" s="352">
        <v>1999</v>
      </c>
      <c r="S80" s="911">
        <f t="shared" si="9"/>
        <v>429.98925900000006</v>
      </c>
      <c r="T80" s="911">
        <f t="shared" si="9"/>
        <v>1253.40626</v>
      </c>
    </row>
    <row r="81" spans="18:20" ht="12.75">
      <c r="R81" s="352">
        <v>2000</v>
      </c>
      <c r="S81" s="911">
        <f t="shared" si="9"/>
        <v>428.728101</v>
      </c>
      <c r="T81" s="911">
        <f t="shared" si="9"/>
        <v>1166.0715179999995</v>
      </c>
    </row>
    <row r="82" spans="18:20" ht="12.75">
      <c r="R82" s="352">
        <v>2001</v>
      </c>
      <c r="S82" s="911">
        <f t="shared" si="9"/>
        <v>426.42942600000003</v>
      </c>
      <c r="T82" s="911">
        <f t="shared" si="9"/>
        <v>1144.7894669999996</v>
      </c>
    </row>
    <row r="83" spans="18:20" ht="12.75">
      <c r="R83" s="352">
        <v>2002</v>
      </c>
      <c r="S83" s="911">
        <f t="shared" si="9"/>
        <v>401.9696770000001</v>
      </c>
      <c r="T83" s="911">
        <f t="shared" si="9"/>
        <v>1160.8448220000034</v>
      </c>
    </row>
    <row r="84" spans="18:20" ht="12.75">
      <c r="R84" s="352">
        <v>2003</v>
      </c>
      <c r="S84" s="911">
        <f t="shared" si="9"/>
        <v>415.38772300000005</v>
      </c>
      <c r="T84" s="911">
        <f t="shared" si="9"/>
        <v>1146.5032210000034</v>
      </c>
    </row>
    <row r="85" spans="18:20" ht="12.75">
      <c r="R85" s="352">
        <v>2004</v>
      </c>
      <c r="S85" s="911">
        <f t="shared" si="9"/>
        <v>424.674328</v>
      </c>
      <c r="T85" s="911">
        <f t="shared" si="9"/>
        <v>1222.3989520000002</v>
      </c>
    </row>
    <row r="86" spans="18:20" ht="12.75">
      <c r="R86" s="352">
        <v>2005</v>
      </c>
      <c r="S86" s="911">
        <f t="shared" si="9"/>
        <v>409.88795820724977</v>
      </c>
      <c r="T86" s="911">
        <f t="shared" si="9"/>
        <v>1288.9739120000033</v>
      </c>
    </row>
    <row r="87" spans="18:20" ht="12.75">
      <c r="R87" s="352">
        <v>2006</v>
      </c>
      <c r="S87" s="911">
        <f t="shared" si="9"/>
        <v>433.59552104141386</v>
      </c>
      <c r="T87" s="911">
        <f t="shared" si="9"/>
        <v>1322.4694165800001</v>
      </c>
    </row>
    <row r="88" spans="18:20" ht="12.75">
      <c r="R88" s="811">
        <v>2007</v>
      </c>
      <c r="S88" s="911">
        <f t="shared" si="9"/>
        <v>441.58805366</v>
      </c>
      <c r="T88" s="911">
        <f t="shared" si="9"/>
        <v>1300.9679980000003</v>
      </c>
    </row>
    <row r="89" spans="18:20" ht="12.75">
      <c r="R89" s="352">
        <v>2008</v>
      </c>
      <c r="S89" s="911">
        <f t="shared" si="9"/>
        <v>451.825642</v>
      </c>
      <c r="T89" s="911">
        <f t="shared" si="9"/>
        <v>1436.5693849999998</v>
      </c>
    </row>
    <row r="90" spans="18:20" ht="12.75">
      <c r="R90" s="352">
        <v>2009</v>
      </c>
      <c r="S90" s="911">
        <f t="shared" si="9"/>
        <v>484.5547920000001</v>
      </c>
      <c r="T90" s="911">
        <f t="shared" si="9"/>
        <v>1538.278246</v>
      </c>
    </row>
    <row r="91" spans="18:20" ht="12.75">
      <c r="R91" s="352">
        <v>2010</v>
      </c>
      <c r="S91" s="911">
        <f t="shared" si="9"/>
        <v>484.72467099999994</v>
      </c>
      <c r="T91" s="911">
        <f t="shared" si="9"/>
        <v>1877.467463</v>
      </c>
    </row>
    <row r="92" spans="18:20" ht="12.75">
      <c r="R92" s="352">
        <v>2011</v>
      </c>
      <c r="S92" s="911">
        <f t="shared" si="9"/>
        <v>529.90831255</v>
      </c>
      <c r="T92" s="911">
        <f t="shared" si="9"/>
        <v>2028.0206412236719</v>
      </c>
    </row>
    <row r="93" spans="18:20" ht="12.75">
      <c r="R93" s="352">
        <v>2012</v>
      </c>
      <c r="S93" s="911">
        <f t="shared" si="9"/>
        <v>541.130383</v>
      </c>
      <c r="T93" s="911">
        <f t="shared" si="9"/>
        <v>2133.8233494079464</v>
      </c>
    </row>
    <row r="94" spans="18:20" ht="12.75">
      <c r="R94" s="352">
        <v>2013</v>
      </c>
      <c r="S94" s="911">
        <f t="shared" si="9"/>
        <v>610.1778665558659</v>
      </c>
      <c r="T94" s="911">
        <f t="shared" si="9"/>
        <v>2055.3336747505405</v>
      </c>
    </row>
    <row r="95" spans="18:20" ht="12.75">
      <c r="R95" s="352">
        <v>2014</v>
      </c>
      <c r="S95" s="911">
        <f>N27</f>
        <v>599.7348119545052</v>
      </c>
      <c r="T95" s="911">
        <f>O27</f>
        <v>2103.8370311792924</v>
      </c>
    </row>
  </sheetData>
  <sheetProtection/>
  <mergeCells count="1">
    <mergeCell ref="W45:Z45"/>
  </mergeCells>
  <printOptions horizontalCentered="1" verticalCentered="1"/>
  <pageMargins left="0.3937007874015748" right="0.1968503937007874" top="0.5118110236220472" bottom="0.2755905511811024" header="0" footer="0"/>
  <pageSetup fitToHeight="1" fitToWidth="1" horizontalDpi="300" verticalDpi="300" orientation="portrait" paperSize="9" scale="65" r:id="rId2"/>
  <ignoredErrors>
    <ignoredError sqref="C8:C27 G10 D8:H9 D11:H27 D10:F10 H10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T52"/>
  <sheetViews>
    <sheetView view="pageBreakPreview" zoomScaleNormal="75" zoomScaleSheetLayoutView="100" zoomScalePageLayoutView="0" workbookViewId="0" topLeftCell="A1">
      <selection activeCell="C36" sqref="C36"/>
    </sheetView>
  </sheetViews>
  <sheetFormatPr defaultColWidth="11.421875" defaultRowHeight="12.75"/>
  <cols>
    <col min="1" max="1" width="4.7109375" style="352" customWidth="1"/>
    <col min="2" max="2" width="24.00390625" style="352" customWidth="1"/>
    <col min="3" max="4" width="15.00390625" style="352" customWidth="1"/>
    <col min="5" max="5" width="13.28125" style="352" customWidth="1"/>
    <col min="6" max="6" width="12.7109375" style="352" customWidth="1"/>
    <col min="7" max="7" width="14.00390625" style="352" customWidth="1"/>
    <col min="8" max="8" width="11.00390625" style="352" customWidth="1"/>
    <col min="9" max="16384" width="11.421875" style="352" customWidth="1"/>
  </cols>
  <sheetData>
    <row r="2" ht="20.25">
      <c r="B2" s="605"/>
    </row>
    <row r="4" spans="1:8" ht="18">
      <c r="A4" s="9" t="s">
        <v>258</v>
      </c>
      <c r="B4"/>
      <c r="C4" s="606"/>
      <c r="D4" s="606"/>
      <c r="E4" s="606"/>
      <c r="F4" s="606"/>
      <c r="G4" s="606"/>
      <c r="H4" s="606"/>
    </row>
    <row r="6" ht="12.75">
      <c r="B6" s="647"/>
    </row>
    <row r="7" ht="13.5" thickBot="1"/>
    <row r="8" spans="2:8" ht="12.75">
      <c r="B8" s="1218" t="s">
        <v>18</v>
      </c>
      <c r="C8" s="1220" t="s">
        <v>259</v>
      </c>
      <c r="D8" s="1221"/>
      <c r="E8" s="1221"/>
      <c r="F8" s="1221"/>
      <c r="G8" s="1221"/>
      <c r="H8" s="1222"/>
    </row>
    <row r="9" spans="2:20" ht="12.75">
      <c r="B9" s="1219"/>
      <c r="C9" s="1223" t="s">
        <v>260</v>
      </c>
      <c r="D9" s="1224"/>
      <c r="E9" s="1224"/>
      <c r="F9" s="1224"/>
      <c r="G9" s="1224"/>
      <c r="H9" s="1225"/>
      <c r="O9" s="946" t="s">
        <v>260</v>
      </c>
      <c r="P9" s="947"/>
      <c r="Q9" s="948"/>
      <c r="R9" s="948"/>
      <c r="S9" s="948"/>
      <c r="T9" s="948"/>
    </row>
    <row r="10" spans="2:20" ht="12.75">
      <c r="B10" s="949"/>
      <c r="C10" s="950" t="s">
        <v>0</v>
      </c>
      <c r="D10" s="951">
        <v>500</v>
      </c>
      <c r="E10" s="952">
        <v>220</v>
      </c>
      <c r="F10" s="953">
        <v>138</v>
      </c>
      <c r="G10" s="953" t="s">
        <v>262</v>
      </c>
      <c r="H10" s="954" t="s">
        <v>261</v>
      </c>
      <c r="O10" s="955" t="s">
        <v>0</v>
      </c>
      <c r="P10" s="956">
        <v>500</v>
      </c>
      <c r="Q10" s="957">
        <v>220</v>
      </c>
      <c r="R10" s="956">
        <v>138</v>
      </c>
      <c r="S10" s="958" t="s">
        <v>262</v>
      </c>
      <c r="T10" s="957" t="s">
        <v>261</v>
      </c>
    </row>
    <row r="11" spans="2:20" ht="12.75">
      <c r="B11" s="959"/>
      <c r="C11" s="960"/>
      <c r="D11" s="960"/>
      <c r="E11" s="961"/>
      <c r="F11" s="962"/>
      <c r="G11" s="962"/>
      <c r="H11" s="963"/>
      <c r="O11" s="964"/>
      <c r="P11" s="965"/>
      <c r="Q11" s="966"/>
      <c r="R11" s="967"/>
      <c r="S11" s="967"/>
      <c r="T11" s="966"/>
    </row>
    <row r="12" spans="2:20" ht="12.75">
      <c r="B12" s="968">
        <v>1995</v>
      </c>
      <c r="C12" s="969">
        <f>SUM(E12:H12)</f>
        <v>9131.536</v>
      </c>
      <c r="D12" s="969"/>
      <c r="E12" s="970">
        <v>3129.692</v>
      </c>
      <c r="F12" s="971">
        <v>1872.9719999999998</v>
      </c>
      <c r="G12" s="971">
        <v>3030.632</v>
      </c>
      <c r="H12" s="972">
        <v>1098.24</v>
      </c>
      <c r="I12" s="385"/>
      <c r="J12" s="911"/>
      <c r="N12" s="352">
        <f aca="true" t="shared" si="0" ref="N12:N26">+B12</f>
        <v>1995</v>
      </c>
      <c r="O12" s="973">
        <f aca="true" t="shared" si="1" ref="O12:O29">SUM(P12:T12)</f>
        <v>9131.536</v>
      </c>
      <c r="P12" s="974">
        <f aca="true" t="shared" si="2" ref="P12:T27">+D12</f>
        <v>0</v>
      </c>
      <c r="Q12" s="974">
        <f t="shared" si="2"/>
        <v>3129.692</v>
      </c>
      <c r="R12" s="974">
        <f t="shared" si="2"/>
        <v>1872.9719999999998</v>
      </c>
      <c r="S12" s="974">
        <f t="shared" si="2"/>
        <v>3030.632</v>
      </c>
      <c r="T12" s="974">
        <f t="shared" si="2"/>
        <v>1098.24</v>
      </c>
    </row>
    <row r="13" spans="2:20" ht="12.75">
      <c r="B13" s="975">
        <v>1996</v>
      </c>
      <c r="C13" s="976">
        <f aca="true" t="shared" si="3" ref="C13:C27">SUM(E13:H13)</f>
        <v>9410.073</v>
      </c>
      <c r="D13" s="976"/>
      <c r="E13" s="977">
        <v>3129.692</v>
      </c>
      <c r="F13" s="978">
        <v>1872.9719999999998</v>
      </c>
      <c r="G13" s="978">
        <v>3277.7189999999996</v>
      </c>
      <c r="H13" s="979">
        <v>1129.69</v>
      </c>
      <c r="I13" s="385"/>
      <c r="J13" s="911"/>
      <c r="N13" s="352">
        <f t="shared" si="0"/>
        <v>1996</v>
      </c>
      <c r="O13" s="973">
        <f t="shared" si="1"/>
        <v>9410.073</v>
      </c>
      <c r="P13" s="974">
        <f t="shared" si="2"/>
        <v>0</v>
      </c>
      <c r="Q13" s="974">
        <f t="shared" si="2"/>
        <v>3129.692</v>
      </c>
      <c r="R13" s="974">
        <f t="shared" si="2"/>
        <v>1872.9719999999998</v>
      </c>
      <c r="S13" s="974">
        <f t="shared" si="2"/>
        <v>3277.7189999999996</v>
      </c>
      <c r="T13" s="974">
        <f t="shared" si="2"/>
        <v>1129.69</v>
      </c>
    </row>
    <row r="14" spans="2:20" ht="12.75">
      <c r="B14" s="968">
        <v>1997</v>
      </c>
      <c r="C14" s="969">
        <f t="shared" si="3"/>
        <v>10824.466</v>
      </c>
      <c r="D14" s="969"/>
      <c r="E14" s="970">
        <v>3625.496</v>
      </c>
      <c r="F14" s="971">
        <v>2240.8330000000005</v>
      </c>
      <c r="G14" s="971">
        <v>3629.138999999999</v>
      </c>
      <c r="H14" s="972">
        <v>1328.998</v>
      </c>
      <c r="I14" s="385"/>
      <c r="J14" s="911"/>
      <c r="N14" s="352">
        <f t="shared" si="0"/>
        <v>1997</v>
      </c>
      <c r="O14" s="973">
        <f t="shared" si="1"/>
        <v>10824.466</v>
      </c>
      <c r="P14" s="974">
        <f t="shared" si="2"/>
        <v>0</v>
      </c>
      <c r="Q14" s="974">
        <f t="shared" si="2"/>
        <v>3625.496</v>
      </c>
      <c r="R14" s="974">
        <f t="shared" si="2"/>
        <v>2240.8330000000005</v>
      </c>
      <c r="S14" s="974">
        <f t="shared" si="2"/>
        <v>3629.138999999999</v>
      </c>
      <c r="T14" s="974">
        <f t="shared" si="2"/>
        <v>1328.998</v>
      </c>
    </row>
    <row r="15" spans="2:20" ht="12.75">
      <c r="B15" s="975">
        <v>1998</v>
      </c>
      <c r="C15" s="976">
        <f t="shared" si="3"/>
        <v>11328.207999999999</v>
      </c>
      <c r="D15" s="976"/>
      <c r="E15" s="977">
        <v>3625.496</v>
      </c>
      <c r="F15" s="978">
        <v>2410.533</v>
      </c>
      <c r="G15" s="978">
        <v>3894.522999999999</v>
      </c>
      <c r="H15" s="979">
        <v>1397.656</v>
      </c>
      <c r="I15" s="385"/>
      <c r="J15" s="911"/>
      <c r="N15" s="352">
        <f t="shared" si="0"/>
        <v>1998</v>
      </c>
      <c r="O15" s="973">
        <f t="shared" si="1"/>
        <v>11328.207999999999</v>
      </c>
      <c r="P15" s="974">
        <f t="shared" si="2"/>
        <v>0</v>
      </c>
      <c r="Q15" s="974">
        <f t="shared" si="2"/>
        <v>3625.496</v>
      </c>
      <c r="R15" s="974">
        <f t="shared" si="2"/>
        <v>2410.533</v>
      </c>
      <c r="S15" s="974">
        <f t="shared" si="2"/>
        <v>3894.522999999999</v>
      </c>
      <c r="T15" s="974">
        <f t="shared" si="2"/>
        <v>1397.656</v>
      </c>
    </row>
    <row r="16" spans="2:20" ht="12.75">
      <c r="B16" s="968">
        <v>1999</v>
      </c>
      <c r="C16" s="969">
        <f t="shared" si="3"/>
        <v>12527.669999999998</v>
      </c>
      <c r="D16" s="969"/>
      <c r="E16" s="970">
        <v>3996.306</v>
      </c>
      <c r="F16" s="971">
        <v>2920.413</v>
      </c>
      <c r="G16" s="971">
        <v>4189.570999999999</v>
      </c>
      <c r="H16" s="972">
        <v>1421.38</v>
      </c>
      <c r="I16" s="385"/>
      <c r="J16" s="911"/>
      <c r="N16" s="352">
        <f t="shared" si="0"/>
        <v>1999</v>
      </c>
      <c r="O16" s="973">
        <f t="shared" si="1"/>
        <v>12527.669999999998</v>
      </c>
      <c r="P16" s="974">
        <f t="shared" si="2"/>
        <v>0</v>
      </c>
      <c r="Q16" s="974">
        <f t="shared" si="2"/>
        <v>3996.306</v>
      </c>
      <c r="R16" s="974">
        <f t="shared" si="2"/>
        <v>2920.413</v>
      </c>
      <c r="S16" s="974">
        <f t="shared" si="2"/>
        <v>4189.570999999999</v>
      </c>
      <c r="T16" s="974">
        <f t="shared" si="2"/>
        <v>1421.38</v>
      </c>
    </row>
    <row r="17" spans="2:20" ht="12.75">
      <c r="B17" s="975">
        <v>2000</v>
      </c>
      <c r="C17" s="976">
        <f t="shared" si="3"/>
        <v>13656.000090000001</v>
      </c>
      <c r="D17" s="976"/>
      <c r="E17" s="977">
        <v>4860.06609</v>
      </c>
      <c r="F17" s="978">
        <v>3135.153</v>
      </c>
      <c r="G17" s="978">
        <v>4213.37</v>
      </c>
      <c r="H17" s="979">
        <v>1447.4109999999998</v>
      </c>
      <c r="I17" s="385"/>
      <c r="J17" s="911"/>
      <c r="N17" s="352">
        <f t="shared" si="0"/>
        <v>2000</v>
      </c>
      <c r="O17" s="973">
        <f t="shared" si="1"/>
        <v>13656.000090000001</v>
      </c>
      <c r="P17" s="974">
        <f t="shared" si="2"/>
        <v>0</v>
      </c>
      <c r="Q17" s="974">
        <f t="shared" si="2"/>
        <v>4860.06609</v>
      </c>
      <c r="R17" s="974">
        <f t="shared" si="2"/>
        <v>3135.153</v>
      </c>
      <c r="S17" s="974">
        <f t="shared" si="2"/>
        <v>4213.37</v>
      </c>
      <c r="T17" s="974">
        <f t="shared" si="2"/>
        <v>1447.4109999999998</v>
      </c>
    </row>
    <row r="18" spans="2:20" ht="12.75">
      <c r="B18" s="968">
        <v>2001</v>
      </c>
      <c r="C18" s="969">
        <f t="shared" si="3"/>
        <v>14260.63609</v>
      </c>
      <c r="D18" s="969"/>
      <c r="E18" s="970">
        <v>5318.10309</v>
      </c>
      <c r="F18" s="971">
        <v>3183.004</v>
      </c>
      <c r="G18" s="971">
        <v>4309.589</v>
      </c>
      <c r="H18" s="972">
        <v>1449.94</v>
      </c>
      <c r="I18" s="385"/>
      <c r="J18" s="911"/>
      <c r="N18" s="352">
        <f t="shared" si="0"/>
        <v>2001</v>
      </c>
      <c r="O18" s="973">
        <f t="shared" si="1"/>
        <v>14260.63609</v>
      </c>
      <c r="P18" s="974">
        <f t="shared" si="2"/>
        <v>0</v>
      </c>
      <c r="Q18" s="974">
        <f t="shared" si="2"/>
        <v>5318.10309</v>
      </c>
      <c r="R18" s="974">
        <f t="shared" si="2"/>
        <v>3183.004</v>
      </c>
      <c r="S18" s="974">
        <f t="shared" si="2"/>
        <v>4309.589</v>
      </c>
      <c r="T18" s="974">
        <f t="shared" si="2"/>
        <v>1449.94</v>
      </c>
    </row>
    <row r="19" spans="2:20" ht="12.75">
      <c r="B19" s="975">
        <v>2002</v>
      </c>
      <c r="C19" s="976">
        <f t="shared" si="3"/>
        <v>14678.77509</v>
      </c>
      <c r="D19" s="976"/>
      <c r="E19" s="977">
        <v>5558.67709</v>
      </c>
      <c r="F19" s="978">
        <v>3331.1639999999998</v>
      </c>
      <c r="G19" s="978">
        <v>4334.589</v>
      </c>
      <c r="H19" s="979">
        <v>1454.345</v>
      </c>
      <c r="I19" s="385"/>
      <c r="J19" s="911"/>
      <c r="N19" s="352">
        <f t="shared" si="0"/>
        <v>2002</v>
      </c>
      <c r="O19" s="973">
        <f t="shared" si="1"/>
        <v>14678.77509</v>
      </c>
      <c r="P19" s="974">
        <f t="shared" si="2"/>
        <v>0</v>
      </c>
      <c r="Q19" s="974">
        <f t="shared" si="2"/>
        <v>5558.67709</v>
      </c>
      <c r="R19" s="974">
        <f t="shared" si="2"/>
        <v>3331.1639999999998</v>
      </c>
      <c r="S19" s="974">
        <f t="shared" si="2"/>
        <v>4334.589</v>
      </c>
      <c r="T19" s="974">
        <f t="shared" si="2"/>
        <v>1454.345</v>
      </c>
    </row>
    <row r="20" spans="2:20" ht="12.75">
      <c r="B20" s="968">
        <v>2003</v>
      </c>
      <c r="C20" s="969">
        <f>SUM(E20:H20)</f>
        <v>14692.997089999999</v>
      </c>
      <c r="D20" s="969"/>
      <c r="E20" s="970">
        <v>5558.67709</v>
      </c>
      <c r="F20" s="971">
        <v>3338.1639999999998</v>
      </c>
      <c r="G20" s="971">
        <v>4335.311</v>
      </c>
      <c r="H20" s="972">
        <v>1460.845</v>
      </c>
      <c r="I20" s="385"/>
      <c r="J20" s="911"/>
      <c r="N20" s="352">
        <f t="shared" si="0"/>
        <v>2003</v>
      </c>
      <c r="O20" s="973">
        <f t="shared" si="1"/>
        <v>14692.997089999999</v>
      </c>
      <c r="P20" s="974">
        <f t="shared" si="2"/>
        <v>0</v>
      </c>
      <c r="Q20" s="974">
        <f t="shared" si="2"/>
        <v>5558.67709</v>
      </c>
      <c r="R20" s="974">
        <f t="shared" si="2"/>
        <v>3338.1639999999998</v>
      </c>
      <c r="S20" s="974">
        <f t="shared" si="2"/>
        <v>4335.311</v>
      </c>
      <c r="T20" s="974">
        <f t="shared" si="2"/>
        <v>1460.845</v>
      </c>
    </row>
    <row r="21" spans="2:20" ht="12.75">
      <c r="B21" s="975">
        <v>2004</v>
      </c>
      <c r="C21" s="976">
        <f t="shared" si="3"/>
        <v>14856.66409</v>
      </c>
      <c r="D21" s="976"/>
      <c r="E21" s="977">
        <v>5613.97709</v>
      </c>
      <c r="F21" s="978">
        <v>3337.61</v>
      </c>
      <c r="G21" s="978">
        <v>4335.311</v>
      </c>
      <c r="H21" s="979">
        <v>1569.7659999999996</v>
      </c>
      <c r="I21" s="385"/>
      <c r="J21" s="911"/>
      <c r="N21" s="352">
        <f t="shared" si="0"/>
        <v>2004</v>
      </c>
      <c r="O21" s="973">
        <f t="shared" si="1"/>
        <v>14856.66409</v>
      </c>
      <c r="P21" s="974">
        <f t="shared" si="2"/>
        <v>0</v>
      </c>
      <c r="Q21" s="974">
        <f t="shared" si="2"/>
        <v>5613.97709</v>
      </c>
      <c r="R21" s="974">
        <f t="shared" si="2"/>
        <v>3337.61</v>
      </c>
      <c r="S21" s="974">
        <f t="shared" si="2"/>
        <v>4335.311</v>
      </c>
      <c r="T21" s="974">
        <f t="shared" si="2"/>
        <v>1569.7659999999996</v>
      </c>
    </row>
    <row r="22" spans="2:20" ht="12.75">
      <c r="B22" s="968">
        <v>2005</v>
      </c>
      <c r="C22" s="969">
        <f t="shared" si="3"/>
        <v>15271.97709</v>
      </c>
      <c r="D22" s="969"/>
      <c r="E22" s="970">
        <v>5613.97709</v>
      </c>
      <c r="F22" s="971">
        <v>3435</v>
      </c>
      <c r="G22" s="971">
        <v>4678</v>
      </c>
      <c r="H22" s="972">
        <v>1545</v>
      </c>
      <c r="I22" s="385"/>
      <c r="J22" s="911"/>
      <c r="N22" s="352">
        <f t="shared" si="0"/>
        <v>2005</v>
      </c>
      <c r="O22" s="973">
        <f t="shared" si="1"/>
        <v>15271.97709</v>
      </c>
      <c r="P22" s="974">
        <f t="shared" si="2"/>
        <v>0</v>
      </c>
      <c r="Q22" s="974">
        <f t="shared" si="2"/>
        <v>5613.97709</v>
      </c>
      <c r="R22" s="974">
        <f t="shared" si="2"/>
        <v>3435</v>
      </c>
      <c r="S22" s="974">
        <f t="shared" si="2"/>
        <v>4678</v>
      </c>
      <c r="T22" s="974">
        <f t="shared" si="2"/>
        <v>1545</v>
      </c>
    </row>
    <row r="23" spans="2:20" ht="12.75">
      <c r="B23" s="975">
        <v>2006</v>
      </c>
      <c r="C23" s="976">
        <f t="shared" si="3"/>
        <v>15688.071089999998</v>
      </c>
      <c r="D23" s="976"/>
      <c r="E23" s="977">
        <v>5664.087089999999</v>
      </c>
      <c r="F23" s="978">
        <v>3636.3779999999997</v>
      </c>
      <c r="G23" s="978">
        <v>4841.857999999999</v>
      </c>
      <c r="H23" s="979">
        <v>1545.7479999999998</v>
      </c>
      <c r="I23" s="385"/>
      <c r="J23" s="911"/>
      <c r="N23" s="352">
        <f t="shared" si="0"/>
        <v>2006</v>
      </c>
      <c r="O23" s="973">
        <f t="shared" si="1"/>
        <v>15688.071089999998</v>
      </c>
      <c r="P23" s="974">
        <f t="shared" si="2"/>
        <v>0</v>
      </c>
      <c r="Q23" s="974">
        <f t="shared" si="2"/>
        <v>5664.087089999999</v>
      </c>
      <c r="R23" s="974">
        <f t="shared" si="2"/>
        <v>3636.3779999999997</v>
      </c>
      <c r="S23" s="974">
        <f t="shared" si="2"/>
        <v>4841.857999999999</v>
      </c>
      <c r="T23" s="974">
        <f t="shared" si="2"/>
        <v>1545.7479999999998</v>
      </c>
    </row>
    <row r="24" spans="2:20" ht="12.75">
      <c r="B24" s="968">
        <v>2007</v>
      </c>
      <c r="C24" s="969">
        <f t="shared" si="3"/>
        <v>15711.891089999997</v>
      </c>
      <c r="D24" s="969"/>
      <c r="E24" s="970">
        <v>5676.9770899999985</v>
      </c>
      <c r="F24" s="971">
        <v>3636.3779999999997</v>
      </c>
      <c r="G24" s="971">
        <v>4852.788</v>
      </c>
      <c r="H24" s="972">
        <v>1545.7479999999998</v>
      </c>
      <c r="I24" s="385"/>
      <c r="J24" s="911"/>
      <c r="N24" s="811">
        <f t="shared" si="0"/>
        <v>2007</v>
      </c>
      <c r="O24" s="973">
        <f t="shared" si="1"/>
        <v>15711.891089999997</v>
      </c>
      <c r="P24" s="974">
        <f t="shared" si="2"/>
        <v>0</v>
      </c>
      <c r="Q24" s="974">
        <f t="shared" si="2"/>
        <v>5676.9770899999985</v>
      </c>
      <c r="R24" s="974">
        <f t="shared" si="2"/>
        <v>3636.3779999999997</v>
      </c>
      <c r="S24" s="974">
        <f t="shared" si="2"/>
        <v>4852.788</v>
      </c>
      <c r="T24" s="974">
        <f t="shared" si="2"/>
        <v>1545.7479999999998</v>
      </c>
    </row>
    <row r="25" spans="2:20" ht="12.75">
      <c r="B25" s="975">
        <v>2008</v>
      </c>
      <c r="C25" s="976">
        <f t="shared" si="3"/>
        <v>15755.003089999998</v>
      </c>
      <c r="D25" s="976"/>
      <c r="E25" s="977">
        <v>5710.71509</v>
      </c>
      <c r="F25" s="978">
        <v>3636.3779999999992</v>
      </c>
      <c r="G25" s="978">
        <v>4862.162</v>
      </c>
      <c r="H25" s="979">
        <v>1545.7479999999998</v>
      </c>
      <c r="I25" s="385"/>
      <c r="J25" s="911"/>
      <c r="N25" s="811">
        <f t="shared" si="0"/>
        <v>2008</v>
      </c>
      <c r="O25" s="973">
        <f t="shared" si="1"/>
        <v>15755.003089999998</v>
      </c>
      <c r="P25" s="974">
        <f t="shared" si="2"/>
        <v>0</v>
      </c>
      <c r="Q25" s="974">
        <f t="shared" si="2"/>
        <v>5710.71509</v>
      </c>
      <c r="R25" s="974">
        <f t="shared" si="2"/>
        <v>3636.3779999999992</v>
      </c>
      <c r="S25" s="974">
        <f t="shared" si="2"/>
        <v>4862.162</v>
      </c>
      <c r="T25" s="974">
        <f t="shared" si="2"/>
        <v>1545.7479999999998</v>
      </c>
    </row>
    <row r="26" spans="2:20" ht="12.75">
      <c r="B26" s="968">
        <v>2009</v>
      </c>
      <c r="C26" s="969">
        <f t="shared" si="3"/>
        <v>16319.40109</v>
      </c>
      <c r="D26" s="969"/>
      <c r="E26" s="970">
        <v>5714.26609</v>
      </c>
      <c r="F26" s="971">
        <v>4057.028</v>
      </c>
      <c r="G26" s="971">
        <v>4992.947</v>
      </c>
      <c r="H26" s="972">
        <v>1555.16</v>
      </c>
      <c r="I26" s="385"/>
      <c r="J26" s="911"/>
      <c r="N26" s="811">
        <f t="shared" si="0"/>
        <v>2009</v>
      </c>
      <c r="O26" s="973">
        <f t="shared" si="1"/>
        <v>16319.40109</v>
      </c>
      <c r="P26" s="974">
        <f t="shared" si="2"/>
        <v>0</v>
      </c>
      <c r="Q26" s="974">
        <f t="shared" si="2"/>
        <v>5714.26609</v>
      </c>
      <c r="R26" s="974">
        <f t="shared" si="2"/>
        <v>4057.028</v>
      </c>
      <c r="S26" s="974">
        <f t="shared" si="2"/>
        <v>4992.947</v>
      </c>
      <c r="T26" s="974">
        <f t="shared" si="2"/>
        <v>1555.16</v>
      </c>
    </row>
    <row r="27" spans="2:20" ht="12.75">
      <c r="B27" s="975">
        <v>2010</v>
      </c>
      <c r="C27" s="976">
        <f t="shared" si="3"/>
        <v>17064.863289999998</v>
      </c>
      <c r="D27" s="976"/>
      <c r="E27" s="977">
        <v>5862.567089999999</v>
      </c>
      <c r="F27" s="978">
        <v>4252.078</v>
      </c>
      <c r="G27" s="978">
        <v>5204.0582</v>
      </c>
      <c r="H27" s="979">
        <v>1746.1599999999999</v>
      </c>
      <c r="I27" s="385"/>
      <c r="J27" s="911"/>
      <c r="N27" s="811">
        <f>+B27</f>
        <v>2010</v>
      </c>
      <c r="O27" s="973">
        <f t="shared" si="1"/>
        <v>17064.863289999998</v>
      </c>
      <c r="P27" s="974">
        <f t="shared" si="2"/>
        <v>0</v>
      </c>
      <c r="Q27" s="974">
        <f t="shared" si="2"/>
        <v>5862.567089999999</v>
      </c>
      <c r="R27" s="974">
        <f t="shared" si="2"/>
        <v>4252.078</v>
      </c>
      <c r="S27" s="974">
        <f t="shared" si="2"/>
        <v>5204.0582</v>
      </c>
      <c r="T27" s="974">
        <f t="shared" si="2"/>
        <v>1746.1599999999999</v>
      </c>
    </row>
    <row r="28" spans="2:20" ht="12.75">
      <c r="B28" s="968" t="s">
        <v>263</v>
      </c>
      <c r="C28" s="969">
        <f>SUM(D28:H28)</f>
        <v>18833.281290000003</v>
      </c>
      <c r="D28" s="969">
        <v>89.9</v>
      </c>
      <c r="E28" s="970">
        <v>7105.98709</v>
      </c>
      <c r="F28" s="971">
        <v>4277.844</v>
      </c>
      <c r="G28" s="971">
        <v>5607.822200000002</v>
      </c>
      <c r="H28" s="972">
        <v>1751.7279999999994</v>
      </c>
      <c r="I28" s="385"/>
      <c r="J28" s="911"/>
      <c r="N28" s="811" t="str">
        <f>+B28</f>
        <v>2011*</v>
      </c>
      <c r="O28" s="973">
        <f t="shared" si="1"/>
        <v>18833.281290000003</v>
      </c>
      <c r="P28" s="974">
        <f>+D28</f>
        <v>89.9</v>
      </c>
      <c r="Q28" s="974">
        <f aca="true" t="shared" si="4" ref="Q28:T30">+E28</f>
        <v>7105.98709</v>
      </c>
      <c r="R28" s="974">
        <f t="shared" si="4"/>
        <v>4277.844</v>
      </c>
      <c r="S28" s="974">
        <f t="shared" si="4"/>
        <v>5607.822200000002</v>
      </c>
      <c r="T28" s="974">
        <f t="shared" si="4"/>
        <v>1751.7279999999994</v>
      </c>
    </row>
    <row r="29" spans="2:20" ht="12.75">
      <c r="B29" s="975">
        <v>2012</v>
      </c>
      <c r="C29" s="976">
        <f>SUM(D29:H29)</f>
        <v>19935.75829</v>
      </c>
      <c r="D29" s="976">
        <v>611.9</v>
      </c>
      <c r="E29" s="977">
        <v>7459.76809</v>
      </c>
      <c r="F29" s="978">
        <v>4285.654</v>
      </c>
      <c r="G29" s="978">
        <v>5782.988200000003</v>
      </c>
      <c r="H29" s="979">
        <v>1795.4479999999992</v>
      </c>
      <c r="I29" s="385"/>
      <c r="J29" s="911"/>
      <c r="N29" s="811">
        <f>+B29</f>
        <v>2012</v>
      </c>
      <c r="O29" s="973">
        <f t="shared" si="1"/>
        <v>19935.75829</v>
      </c>
      <c r="P29" s="974">
        <f>+D29</f>
        <v>611.9</v>
      </c>
      <c r="Q29" s="974">
        <f t="shared" si="4"/>
        <v>7459.76809</v>
      </c>
      <c r="R29" s="974">
        <f t="shared" si="4"/>
        <v>4285.654</v>
      </c>
      <c r="S29" s="974">
        <f t="shared" si="4"/>
        <v>5782.988200000003</v>
      </c>
      <c r="T29" s="974">
        <f t="shared" si="4"/>
        <v>1795.4479999999992</v>
      </c>
    </row>
    <row r="30" spans="2:20" ht="12.75">
      <c r="B30" s="968">
        <v>2013</v>
      </c>
      <c r="C30" s="969">
        <f>SUM(D30:H30)</f>
        <v>20585.1192</v>
      </c>
      <c r="D30" s="969">
        <v>621.86</v>
      </c>
      <c r="E30" s="970">
        <v>7841.677</v>
      </c>
      <c r="F30" s="971">
        <v>4416.933999999999</v>
      </c>
      <c r="G30" s="971">
        <v>5907.1522</v>
      </c>
      <c r="H30" s="972">
        <v>1797.496</v>
      </c>
      <c r="I30" s="385"/>
      <c r="J30" s="911"/>
      <c r="N30" s="811">
        <f>+B30</f>
        <v>2013</v>
      </c>
      <c r="O30" s="973">
        <f>SUM(P30:T30)</f>
        <v>20585.1192</v>
      </c>
      <c r="P30" s="974">
        <f>+D30</f>
        <v>621.86</v>
      </c>
      <c r="Q30" s="974">
        <f t="shared" si="4"/>
        <v>7841.677</v>
      </c>
      <c r="R30" s="974">
        <f t="shared" si="4"/>
        <v>4416.933999999999</v>
      </c>
      <c r="S30" s="974">
        <f t="shared" si="4"/>
        <v>5907.1522</v>
      </c>
      <c r="T30" s="974">
        <f t="shared" si="4"/>
        <v>1797.496</v>
      </c>
    </row>
    <row r="31" spans="2:20" ht="12.75">
      <c r="B31" s="980">
        <v>2014</v>
      </c>
      <c r="C31" s="976">
        <f>SUM(D31:H31)</f>
        <v>21589.042330000004</v>
      </c>
      <c r="D31" s="976">
        <v>1838.46</v>
      </c>
      <c r="E31" s="977">
        <v>8240.83551</v>
      </c>
      <c r="F31" s="978">
        <v>4368.3289</v>
      </c>
      <c r="G31" s="978">
        <v>4888.853100000002</v>
      </c>
      <c r="H31" s="979">
        <v>2252.5648200000005</v>
      </c>
      <c r="I31" s="385"/>
      <c r="J31" s="911"/>
      <c r="N31" s="811">
        <f>+B31</f>
        <v>2014</v>
      </c>
      <c r="O31" s="973">
        <f>SUM(P31:T31)</f>
        <v>21589.042330000004</v>
      </c>
      <c r="P31" s="974">
        <f>+D31</f>
        <v>1838.46</v>
      </c>
      <c r="Q31" s="974">
        <f>+E31</f>
        <v>8240.83551</v>
      </c>
      <c r="R31" s="974">
        <f>+F31</f>
        <v>4368.3289</v>
      </c>
      <c r="S31" s="974">
        <f>+G31</f>
        <v>4888.853100000002</v>
      </c>
      <c r="T31" s="974">
        <f>+H31</f>
        <v>2252.5648200000005</v>
      </c>
    </row>
    <row r="32" spans="2:18" ht="13.5" thickBot="1">
      <c r="B32" s="981"/>
      <c r="C32" s="982"/>
      <c r="D32" s="982"/>
      <c r="E32" s="983"/>
      <c r="F32" s="984"/>
      <c r="G32" s="984"/>
      <c r="H32" s="985"/>
      <c r="I32" s="385"/>
      <c r="J32" s="911"/>
      <c r="K32" s="478"/>
      <c r="M32" s="986"/>
      <c r="N32" s="987"/>
      <c r="O32" s="987"/>
      <c r="P32" s="987"/>
      <c r="Q32" s="987"/>
      <c r="R32" s="987"/>
    </row>
    <row r="33" spans="2:18" ht="12.75">
      <c r="B33" s="988" t="s">
        <v>273</v>
      </c>
      <c r="C33" s="989">
        <f aca="true" t="shared" si="5" ref="C33:H33">(C31/C30)-1</f>
        <v>0.04876936199621351</v>
      </c>
      <c r="D33" s="989">
        <f t="shared" si="5"/>
        <v>1.9563888978226611</v>
      </c>
      <c r="E33" s="989">
        <f t="shared" si="5"/>
        <v>0.05090218712145389</v>
      </c>
      <c r="F33" s="989">
        <f t="shared" si="5"/>
        <v>-0.011004262232580109</v>
      </c>
      <c r="G33" s="989">
        <f t="shared" si="5"/>
        <v>-0.17238409736590132</v>
      </c>
      <c r="H33" s="990">
        <f t="shared" si="5"/>
        <v>0.25316819620182773</v>
      </c>
      <c r="I33" s="385"/>
      <c r="J33" s="911"/>
      <c r="M33" s="986"/>
      <c r="N33" s="987"/>
      <c r="O33" s="987"/>
      <c r="P33" s="987"/>
      <c r="Q33" s="987"/>
      <c r="R33" s="987"/>
    </row>
    <row r="34" spans="2:8" ht="12.75">
      <c r="B34" s="991" t="s">
        <v>274</v>
      </c>
      <c r="C34" s="992">
        <f>((C31/C26)^(1/5))-1</f>
        <v>0.05756198734748219</v>
      </c>
      <c r="D34" s="992" t="s">
        <v>77</v>
      </c>
      <c r="E34" s="992">
        <f>((E31/E26)^(1/5))-1</f>
        <v>0.07597494156989959</v>
      </c>
      <c r="F34" s="992">
        <f>((F31/F26)^(1/5))-1</f>
        <v>0.014895822682590154</v>
      </c>
      <c r="G34" s="992">
        <f>((G31/G26)^(1/5))-1</f>
        <v>-0.004204850854686137</v>
      </c>
      <c r="H34" s="993">
        <f>((H31/H26)^(1/5))-1</f>
        <v>0.07691256448284944</v>
      </c>
    </row>
    <row r="35" spans="2:11" ht="12.75">
      <c r="B35" s="994" t="s">
        <v>275</v>
      </c>
      <c r="C35" s="995">
        <f>(C31/C21)-1</f>
        <v>0.453155445880449</v>
      </c>
      <c r="D35" s="995" t="s">
        <v>77</v>
      </c>
      <c r="E35" s="995">
        <f>(E31/E18)-1</f>
        <v>0.5495817532187028</v>
      </c>
      <c r="F35" s="995">
        <f>(F31/F18)-1</f>
        <v>0.3723918977167482</v>
      </c>
      <c r="G35" s="995">
        <f>(G31/G18)-1</f>
        <v>0.13441284076045346</v>
      </c>
      <c r="H35" s="996">
        <f>(H31/H18)-1</f>
        <v>0.5535572644385287</v>
      </c>
      <c r="K35" s="478"/>
    </row>
    <row r="36" spans="2:8" ht="13.5" thickBot="1">
      <c r="B36" s="997" t="s">
        <v>276</v>
      </c>
      <c r="C36" s="998">
        <f>((C31/C21)^(1/10))-1</f>
        <v>0.038080916721568325</v>
      </c>
      <c r="D36" s="998" t="s">
        <v>77</v>
      </c>
      <c r="E36" s="998">
        <f>((E31/E18)^(1/13))-1</f>
        <v>0.03426513319415081</v>
      </c>
      <c r="F36" s="998">
        <f>((F31/F18)^(1/13))-1</f>
        <v>0.024649286451476016</v>
      </c>
      <c r="G36" s="998">
        <f>((G31/G18)^(1/13))-1</f>
        <v>0.009748377811738873</v>
      </c>
      <c r="H36" s="999">
        <f>((H31/H18)^(1/13))-1</f>
        <v>0.03446900319100221</v>
      </c>
    </row>
    <row r="37" spans="2:8" s="609" customFormat="1" ht="6" customHeight="1">
      <c r="B37" s="1000"/>
      <c r="C37" s="1001"/>
      <c r="D37" s="1001"/>
      <c r="E37" s="1001"/>
      <c r="F37" s="1001"/>
      <c r="G37" s="1001"/>
      <c r="H37" s="1001"/>
    </row>
    <row r="38" ht="12.75">
      <c r="B38" s="1002" t="s">
        <v>290</v>
      </c>
    </row>
    <row r="39" ht="12.75">
      <c r="B39" s="1003" t="s">
        <v>264</v>
      </c>
    </row>
    <row r="40" ht="12.75">
      <c r="B40" s="1004"/>
    </row>
    <row r="42" spans="10:12" ht="12.75">
      <c r="J42" s="911"/>
      <c r="L42" s="785"/>
    </row>
    <row r="43" ht="12.75">
      <c r="L43" s="785"/>
    </row>
    <row r="44" ht="12.75">
      <c r="L44" s="785"/>
    </row>
    <row r="45" ht="12.75">
      <c r="L45" s="785"/>
    </row>
    <row r="46" ht="12.75">
      <c r="L46" s="785"/>
    </row>
    <row r="47" ht="12.75">
      <c r="L47" s="785"/>
    </row>
    <row r="48" ht="12.75">
      <c r="L48" s="785"/>
    </row>
    <row r="49" spans="12:13" ht="12.75">
      <c r="L49" s="785"/>
      <c r="M49" s="785"/>
    </row>
    <row r="50" spans="12:13" ht="12.75">
      <c r="L50" s="785"/>
      <c r="M50" s="785"/>
    </row>
    <row r="51" spans="11:13" ht="12.75">
      <c r="K51" s="811"/>
      <c r="L51" s="785"/>
      <c r="M51" s="785"/>
    </row>
    <row r="52" spans="12:13" ht="12.75">
      <c r="L52" s="785"/>
      <c r="M52" s="785"/>
    </row>
  </sheetData>
  <sheetProtection/>
  <mergeCells count="3">
    <mergeCell ref="B8:B9"/>
    <mergeCell ref="C8:H8"/>
    <mergeCell ref="C9:H9"/>
  </mergeCells>
  <printOptions horizontalCentered="1"/>
  <pageMargins left="0.5118110236220472" right="0.2755905511811024" top="0.35433070866141736" bottom="0.1968503937007874" header="0" footer="0"/>
  <pageSetup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6:P64"/>
  <sheetViews>
    <sheetView view="pageBreakPreview" zoomScaleNormal="55" zoomScaleSheetLayoutView="100" zoomScalePageLayoutView="0" workbookViewId="0" topLeftCell="A1">
      <selection activeCell="M37" sqref="M37"/>
    </sheetView>
  </sheetViews>
  <sheetFormatPr defaultColWidth="11.421875" defaultRowHeight="12.75"/>
  <cols>
    <col min="1" max="1" width="5.00390625" style="144" customWidth="1"/>
    <col min="2" max="2" width="22.140625" style="144" customWidth="1"/>
    <col min="3" max="3" width="15.00390625" style="144" customWidth="1"/>
    <col min="4" max="4" width="13.28125" style="144" customWidth="1"/>
    <col min="5" max="5" width="12.7109375" style="144" customWidth="1"/>
    <col min="6" max="6" width="14.00390625" style="144" customWidth="1"/>
    <col min="7" max="7" width="11.00390625" style="144" customWidth="1"/>
    <col min="8" max="8" width="12.421875" style="144" customWidth="1"/>
    <col min="9" max="9" width="11.7109375" style="144" customWidth="1"/>
    <col min="10" max="10" width="11.00390625" style="144" customWidth="1"/>
    <col min="11" max="11" width="12.28125" style="144" customWidth="1"/>
    <col min="12" max="16384" width="11.421875" style="144" customWidth="1"/>
  </cols>
  <sheetData>
    <row r="6" spans="1:10" ht="18">
      <c r="A6" s="1232" t="s">
        <v>251</v>
      </c>
      <c r="B6" s="1232"/>
      <c r="C6" s="1232"/>
      <c r="D6" s="1232"/>
      <c r="E6" s="1232"/>
      <c r="F6" s="1232"/>
      <c r="G6" s="1232"/>
      <c r="H6" s="1232"/>
      <c r="I6" s="1232"/>
      <c r="J6" s="1232"/>
    </row>
    <row r="8" spans="3:11" ht="15">
      <c r="C8" s="145"/>
      <c r="D8" s="145"/>
      <c r="E8" s="145"/>
      <c r="F8" s="145"/>
      <c r="G8" s="145"/>
      <c r="H8" s="146"/>
      <c r="I8" s="146"/>
      <c r="J8" s="146"/>
      <c r="K8" s="146"/>
    </row>
    <row r="10" spans="2:11" ht="12.75">
      <c r="B10" s="1226" t="s">
        <v>18</v>
      </c>
      <c r="C10" s="1228" t="s">
        <v>50</v>
      </c>
      <c r="D10" s="1229"/>
      <c r="E10" s="1230"/>
      <c r="F10" s="1228" t="s">
        <v>10</v>
      </c>
      <c r="G10" s="1229"/>
      <c r="H10" s="1229"/>
      <c r="I10" s="1231" t="s">
        <v>11</v>
      </c>
      <c r="J10" s="1229"/>
      <c r="K10" s="1230"/>
    </row>
    <row r="11" spans="2:11" ht="12.75">
      <c r="B11" s="1227"/>
      <c r="C11" s="1169" t="s">
        <v>0</v>
      </c>
      <c r="D11" s="1170" t="s">
        <v>16</v>
      </c>
      <c r="E11" s="1171" t="s">
        <v>17</v>
      </c>
      <c r="F11" s="1172" t="s">
        <v>12</v>
      </c>
      <c r="G11" s="1170" t="s">
        <v>16</v>
      </c>
      <c r="H11" s="1173" t="s">
        <v>17</v>
      </c>
      <c r="I11" s="1174" t="s">
        <v>0</v>
      </c>
      <c r="J11" s="1170" t="s">
        <v>16</v>
      </c>
      <c r="K11" s="1171" t="s">
        <v>17</v>
      </c>
    </row>
    <row r="12" spans="2:16" ht="12.75">
      <c r="B12" s="1175"/>
      <c r="C12" s="1176"/>
      <c r="D12" s="1177"/>
      <c r="E12" s="1178"/>
      <c r="F12" s="1179"/>
      <c r="G12" s="1177"/>
      <c r="H12" s="1180"/>
      <c r="I12" s="1181"/>
      <c r="J12" s="1177"/>
      <c r="K12" s="1178"/>
      <c r="O12" s="144" t="s">
        <v>8</v>
      </c>
      <c r="P12" s="144" t="s">
        <v>9</v>
      </c>
    </row>
    <row r="13" spans="2:11" ht="12.75">
      <c r="B13" s="158"/>
      <c r="C13" s="159"/>
      <c r="D13" s="160"/>
      <c r="E13" s="161"/>
      <c r="F13" s="162"/>
      <c r="G13" s="160"/>
      <c r="H13" s="163"/>
      <c r="I13" s="164"/>
      <c r="J13" s="160"/>
      <c r="K13" s="161"/>
    </row>
    <row r="14" spans="2:16" ht="12.75">
      <c r="B14" s="165">
        <v>1995</v>
      </c>
      <c r="C14" s="166">
        <f aca="true" t="shared" si="0" ref="C14:C29">SUM(D14:E14)</f>
        <v>9849.256128000005</v>
      </c>
      <c r="D14" s="167">
        <f aca="true" t="shared" si="1" ref="D14:E29">SUM(G14,J14)</f>
        <v>6430.384862000004</v>
      </c>
      <c r="E14" s="168">
        <f t="shared" si="1"/>
        <v>3418.8712659999997</v>
      </c>
      <c r="F14" s="169">
        <f aca="true" t="shared" si="2" ref="F14:F29">SUM(G14:H14)</f>
        <v>8673.708087000005</v>
      </c>
      <c r="G14" s="167">
        <v>6430.384862000004</v>
      </c>
      <c r="H14" s="170">
        <v>2243.3232249999996</v>
      </c>
      <c r="I14" s="171">
        <f aca="true" t="shared" si="3" ref="I14:I29">SUM(J14:K14)</f>
        <v>1175.548041</v>
      </c>
      <c r="J14" s="167"/>
      <c r="K14" s="168">
        <v>1175.548041</v>
      </c>
      <c r="L14" s="172"/>
      <c r="M14" s="153"/>
      <c r="N14" s="144">
        <v>1995</v>
      </c>
      <c r="O14" s="147">
        <f aca="true" t="shared" si="4" ref="O14:P27">D14</f>
        <v>6430.384862000004</v>
      </c>
      <c r="P14" s="147">
        <f t="shared" si="4"/>
        <v>3418.8712659999997</v>
      </c>
    </row>
    <row r="15" spans="2:16" ht="12.75">
      <c r="B15" s="173">
        <v>1996</v>
      </c>
      <c r="C15" s="174">
        <f t="shared" si="0"/>
        <v>10330.839597999991</v>
      </c>
      <c r="D15" s="175">
        <f t="shared" si="1"/>
        <v>6781.815841999992</v>
      </c>
      <c r="E15" s="176">
        <f t="shared" si="1"/>
        <v>3549.0237560000005</v>
      </c>
      <c r="F15" s="177">
        <f t="shared" si="2"/>
        <v>8770.610735999991</v>
      </c>
      <c r="G15" s="175">
        <v>6781.815841999992</v>
      </c>
      <c r="H15" s="178">
        <v>1988.7948940000003</v>
      </c>
      <c r="I15" s="179">
        <f t="shared" si="3"/>
        <v>1560.228862</v>
      </c>
      <c r="J15" s="175"/>
      <c r="K15" s="176">
        <v>1560.228862</v>
      </c>
      <c r="L15" s="172"/>
      <c r="M15" s="153"/>
      <c r="N15" s="144">
        <v>1996</v>
      </c>
      <c r="O15" s="147">
        <f t="shared" si="4"/>
        <v>6781.815841999992</v>
      </c>
      <c r="P15" s="147">
        <f t="shared" si="4"/>
        <v>3549.0237560000005</v>
      </c>
    </row>
    <row r="16" spans="2:16" ht="12.75">
      <c r="B16" s="165">
        <v>1997</v>
      </c>
      <c r="C16" s="166">
        <f t="shared" si="0"/>
        <v>12451.230159999992</v>
      </c>
      <c r="D16" s="167">
        <f t="shared" si="1"/>
        <v>7291.649441999992</v>
      </c>
      <c r="E16" s="168">
        <f t="shared" si="1"/>
        <v>5159.580717999999</v>
      </c>
      <c r="F16" s="169">
        <f t="shared" si="2"/>
        <v>9377.89467999999</v>
      </c>
      <c r="G16" s="167">
        <v>7291.649441999992</v>
      </c>
      <c r="H16" s="170">
        <v>2086.2452379999995</v>
      </c>
      <c r="I16" s="171">
        <f t="shared" si="3"/>
        <v>3073.3354799999997</v>
      </c>
      <c r="J16" s="167"/>
      <c r="K16" s="168">
        <v>3073.3354799999997</v>
      </c>
      <c r="L16" s="172"/>
      <c r="M16" s="180"/>
      <c r="N16" s="144">
        <v>1997</v>
      </c>
      <c r="O16" s="147">
        <f t="shared" si="4"/>
        <v>7291.649441999992</v>
      </c>
      <c r="P16" s="147">
        <f t="shared" si="4"/>
        <v>5159.580717999999</v>
      </c>
    </row>
    <row r="17" spans="2:16" ht="12.75">
      <c r="B17" s="173">
        <v>1998</v>
      </c>
      <c r="C17" s="174">
        <f t="shared" si="0"/>
        <v>14008.576822999998</v>
      </c>
      <c r="D17" s="175">
        <f t="shared" si="1"/>
        <v>7755.838101999997</v>
      </c>
      <c r="E17" s="176">
        <f t="shared" si="1"/>
        <v>6252.738721000001</v>
      </c>
      <c r="F17" s="177">
        <f t="shared" si="2"/>
        <v>9878.661572999998</v>
      </c>
      <c r="G17" s="175">
        <v>7755.838101999997</v>
      </c>
      <c r="H17" s="178">
        <v>2122.8234709999997</v>
      </c>
      <c r="I17" s="179">
        <f t="shared" si="3"/>
        <v>4129.915250000001</v>
      </c>
      <c r="J17" s="175"/>
      <c r="K17" s="176">
        <v>4129.915250000001</v>
      </c>
      <c r="L17" s="172"/>
      <c r="M17" s="153"/>
      <c r="N17" s="144">
        <v>1998</v>
      </c>
      <c r="O17" s="147">
        <f t="shared" si="4"/>
        <v>7755.838101999997</v>
      </c>
      <c r="P17" s="147">
        <f t="shared" si="4"/>
        <v>6252.738721000001</v>
      </c>
    </row>
    <row r="18" spans="2:16" ht="12.75">
      <c r="B18" s="165">
        <v>1999</v>
      </c>
      <c r="C18" s="166">
        <f t="shared" si="0"/>
        <v>14591.89155900001</v>
      </c>
      <c r="D18" s="167">
        <f t="shared" si="1"/>
        <v>8071.873335000011</v>
      </c>
      <c r="E18" s="168">
        <f t="shared" si="1"/>
        <v>6520.0182239999995</v>
      </c>
      <c r="F18" s="169">
        <f t="shared" si="2"/>
        <v>10198.89102700001</v>
      </c>
      <c r="G18" s="167">
        <v>8071.873335000011</v>
      </c>
      <c r="H18" s="170">
        <v>2127.017692</v>
      </c>
      <c r="I18" s="171">
        <f t="shared" si="3"/>
        <v>4393.000532</v>
      </c>
      <c r="J18" s="167"/>
      <c r="K18" s="168">
        <v>4393.000532</v>
      </c>
      <c r="L18" s="172"/>
      <c r="M18" s="153"/>
      <c r="N18" s="144">
        <v>1999</v>
      </c>
      <c r="O18" s="147">
        <f t="shared" si="4"/>
        <v>8071.873335000011</v>
      </c>
      <c r="P18" s="147">
        <f t="shared" si="4"/>
        <v>6520.0182239999995</v>
      </c>
    </row>
    <row r="19" spans="2:16" ht="12.75">
      <c r="B19" s="173">
        <v>2000</v>
      </c>
      <c r="C19" s="174">
        <f t="shared" si="0"/>
        <v>15545.595392000014</v>
      </c>
      <c r="D19" s="175">
        <f t="shared" si="1"/>
        <v>8406.778280000013</v>
      </c>
      <c r="E19" s="176">
        <f t="shared" si="1"/>
        <v>7138.817112000001</v>
      </c>
      <c r="F19" s="177">
        <f t="shared" si="2"/>
        <v>10763.269271000014</v>
      </c>
      <c r="G19" s="175">
        <v>8406.778280000013</v>
      </c>
      <c r="H19" s="178">
        <v>2356.490991</v>
      </c>
      <c r="I19" s="179">
        <f t="shared" si="3"/>
        <v>4782.326121</v>
      </c>
      <c r="J19" s="181"/>
      <c r="K19" s="176">
        <v>4782.326121</v>
      </c>
      <c r="L19" s="172"/>
      <c r="M19" s="153"/>
      <c r="N19" s="144">
        <v>2000</v>
      </c>
      <c r="O19" s="147">
        <f t="shared" si="4"/>
        <v>8406.778280000013</v>
      </c>
      <c r="P19" s="147">
        <f t="shared" si="4"/>
        <v>7138.817112000001</v>
      </c>
    </row>
    <row r="20" spans="2:16" ht="12.75">
      <c r="B20" s="165">
        <v>2001</v>
      </c>
      <c r="C20" s="166">
        <f t="shared" si="0"/>
        <v>16628.75454499999</v>
      </c>
      <c r="D20" s="167">
        <f t="shared" si="1"/>
        <v>8654.853232999987</v>
      </c>
      <c r="E20" s="168">
        <f t="shared" si="1"/>
        <v>7973.901312</v>
      </c>
      <c r="F20" s="169">
        <f t="shared" si="2"/>
        <v>10522.374724999987</v>
      </c>
      <c r="G20" s="167">
        <v>8654.853232999987</v>
      </c>
      <c r="H20" s="170">
        <v>1867.5214919999999</v>
      </c>
      <c r="I20" s="171">
        <f t="shared" si="3"/>
        <v>6106.37982</v>
      </c>
      <c r="J20" s="182"/>
      <c r="K20" s="168">
        <v>6106.37982</v>
      </c>
      <c r="L20" s="172"/>
      <c r="M20" s="153"/>
      <c r="N20" s="144">
        <v>2001</v>
      </c>
      <c r="O20" s="147">
        <f t="shared" si="4"/>
        <v>8654.853232999987</v>
      </c>
      <c r="P20" s="147">
        <f t="shared" si="4"/>
        <v>7973.901312</v>
      </c>
    </row>
    <row r="21" spans="2:16" ht="12.75">
      <c r="B21" s="173">
        <v>2002</v>
      </c>
      <c r="C21" s="174">
        <f t="shared" si="0"/>
        <v>17605.325913848</v>
      </c>
      <c r="D21" s="175">
        <f t="shared" si="1"/>
        <v>9221.888807000001</v>
      </c>
      <c r="E21" s="176">
        <f t="shared" si="1"/>
        <v>8383.437106848</v>
      </c>
      <c r="F21" s="177">
        <f t="shared" si="2"/>
        <v>11113.547163000001</v>
      </c>
      <c r="G21" s="175">
        <v>9221.888807000001</v>
      </c>
      <c r="H21" s="178">
        <v>1891.6583559999997</v>
      </c>
      <c r="I21" s="179">
        <f t="shared" si="3"/>
        <v>6491.778750848</v>
      </c>
      <c r="J21" s="181"/>
      <c r="K21" s="176">
        <v>6491.778750848</v>
      </c>
      <c r="L21" s="172"/>
      <c r="N21" s="148">
        <v>2002</v>
      </c>
      <c r="O21" s="147">
        <f t="shared" si="4"/>
        <v>9221.888807000001</v>
      </c>
      <c r="P21" s="147">
        <f t="shared" si="4"/>
        <v>8383.437106848</v>
      </c>
    </row>
    <row r="22" spans="2:16" ht="12.75">
      <c r="B22" s="165">
        <v>2003</v>
      </c>
      <c r="C22" s="166">
        <f>SUM(D22:E22)</f>
        <v>18375.33541</v>
      </c>
      <c r="D22" s="167">
        <f t="shared" si="1"/>
        <v>9610.790289</v>
      </c>
      <c r="E22" s="168">
        <f t="shared" si="1"/>
        <v>8764.545121000001</v>
      </c>
      <c r="F22" s="169">
        <f t="shared" si="2"/>
        <v>11303.613573</v>
      </c>
      <c r="G22" s="167">
        <v>9610.790289</v>
      </c>
      <c r="H22" s="170">
        <v>1692.823284</v>
      </c>
      <c r="I22" s="171">
        <f>SUM(J22:K22)</f>
        <v>7071.721837000001</v>
      </c>
      <c r="J22" s="182"/>
      <c r="K22" s="168">
        <v>7071.721837000001</v>
      </c>
      <c r="L22" s="183"/>
      <c r="N22" s="144">
        <v>2003</v>
      </c>
      <c r="O22" s="147">
        <f t="shared" si="4"/>
        <v>9610.790289</v>
      </c>
      <c r="P22" s="147">
        <f t="shared" si="4"/>
        <v>8764.545121000001</v>
      </c>
    </row>
    <row r="23" spans="2:16" ht="12.75">
      <c r="B23" s="173">
        <v>2004</v>
      </c>
      <c r="C23" s="174">
        <f t="shared" si="0"/>
        <v>19640.65111</v>
      </c>
      <c r="D23" s="175">
        <f t="shared" si="1"/>
        <v>10352.511363000001</v>
      </c>
      <c r="E23" s="176">
        <f t="shared" si="1"/>
        <v>9288.139747</v>
      </c>
      <c r="F23" s="177">
        <f t="shared" si="2"/>
        <v>12001.305316000002</v>
      </c>
      <c r="G23" s="175">
        <v>10352.511363000001</v>
      </c>
      <c r="H23" s="178">
        <v>1648.793953</v>
      </c>
      <c r="I23" s="179">
        <f t="shared" si="3"/>
        <v>7639.345794</v>
      </c>
      <c r="J23" s="181"/>
      <c r="K23" s="176">
        <v>7639.345794</v>
      </c>
      <c r="L23" s="172"/>
      <c r="N23" s="148">
        <v>2004</v>
      </c>
      <c r="O23" s="147">
        <f t="shared" si="4"/>
        <v>10352.511363000001</v>
      </c>
      <c r="P23" s="147">
        <f t="shared" si="4"/>
        <v>9288.139747</v>
      </c>
    </row>
    <row r="24" spans="2:16" ht="12.75">
      <c r="B24" s="165">
        <v>2005</v>
      </c>
      <c r="C24" s="166">
        <f t="shared" si="0"/>
        <v>20701.382880222223</v>
      </c>
      <c r="D24" s="167">
        <f t="shared" si="1"/>
        <v>11150.106846222223</v>
      </c>
      <c r="E24" s="168">
        <f t="shared" si="1"/>
        <v>9551.276034</v>
      </c>
      <c r="F24" s="169">
        <f t="shared" si="2"/>
        <v>12914.287800222222</v>
      </c>
      <c r="G24" s="167">
        <v>11150.106846222223</v>
      </c>
      <c r="H24" s="170">
        <v>1764.180954</v>
      </c>
      <c r="I24" s="171">
        <f t="shared" si="3"/>
        <v>7787.095080000001</v>
      </c>
      <c r="J24" s="182"/>
      <c r="K24" s="168">
        <v>7787.095080000001</v>
      </c>
      <c r="L24" s="172"/>
      <c r="N24" s="144">
        <v>2005</v>
      </c>
      <c r="O24" s="147">
        <f t="shared" si="4"/>
        <v>11150.106846222223</v>
      </c>
      <c r="P24" s="147">
        <f t="shared" si="4"/>
        <v>9551.276034</v>
      </c>
    </row>
    <row r="25" spans="2:16" ht="12.75">
      <c r="B25" s="173">
        <v>2006</v>
      </c>
      <c r="C25" s="174">
        <f t="shared" si="0"/>
        <v>22290.061152999995</v>
      </c>
      <c r="D25" s="175">
        <f>SUM(G25,J25)</f>
        <v>12169.514937999998</v>
      </c>
      <c r="E25" s="176">
        <f>SUM(H25,K25)</f>
        <v>10120.546214999998</v>
      </c>
      <c r="F25" s="177">
        <f t="shared" si="2"/>
        <v>14043.638326999999</v>
      </c>
      <c r="G25" s="175">
        <v>12169.514937999998</v>
      </c>
      <c r="H25" s="178">
        <v>1874.1233889999999</v>
      </c>
      <c r="I25" s="179">
        <f t="shared" si="3"/>
        <v>8246.422825999998</v>
      </c>
      <c r="J25" s="181"/>
      <c r="K25" s="176">
        <v>8246.422825999998</v>
      </c>
      <c r="L25" s="172"/>
      <c r="N25" s="148">
        <v>2006</v>
      </c>
      <c r="O25" s="147">
        <f t="shared" si="4"/>
        <v>12169.514937999998</v>
      </c>
      <c r="P25" s="147">
        <f t="shared" si="4"/>
        <v>10120.546214999998</v>
      </c>
    </row>
    <row r="26" spans="2:16" ht="12.75">
      <c r="B26" s="165">
        <v>2007</v>
      </c>
      <c r="C26" s="166">
        <f t="shared" si="0"/>
        <v>24721.748553</v>
      </c>
      <c r="D26" s="167">
        <f t="shared" si="1"/>
        <v>13346.184469</v>
      </c>
      <c r="E26" s="168">
        <f t="shared" si="1"/>
        <v>11375.564084000001</v>
      </c>
      <c r="F26" s="184">
        <f t="shared" si="2"/>
        <v>15032.180855</v>
      </c>
      <c r="G26" s="167">
        <v>13346.184469</v>
      </c>
      <c r="H26" s="170">
        <v>1685.996386</v>
      </c>
      <c r="I26" s="171">
        <f t="shared" si="3"/>
        <v>9689.567698</v>
      </c>
      <c r="J26" s="182"/>
      <c r="K26" s="168">
        <v>9689.567698</v>
      </c>
      <c r="L26" s="172"/>
      <c r="N26" s="148">
        <v>2007</v>
      </c>
      <c r="O26" s="147">
        <f t="shared" si="4"/>
        <v>13346.184469</v>
      </c>
      <c r="P26" s="147">
        <f t="shared" si="4"/>
        <v>11375.564084000001</v>
      </c>
    </row>
    <row r="27" spans="2:16" ht="12.75">
      <c r="B27" s="173">
        <v>2008</v>
      </c>
      <c r="C27" s="174">
        <f t="shared" si="0"/>
        <v>26964.414596000002</v>
      </c>
      <c r="D27" s="175">
        <f t="shared" si="1"/>
        <v>14569.444074000001</v>
      </c>
      <c r="E27" s="176">
        <f t="shared" si="1"/>
        <v>12394.970522</v>
      </c>
      <c r="F27" s="185">
        <f t="shared" si="2"/>
        <v>16297.176545</v>
      </c>
      <c r="G27" s="175">
        <v>14569.444074000001</v>
      </c>
      <c r="H27" s="178">
        <v>1727.732471</v>
      </c>
      <c r="I27" s="179">
        <f t="shared" si="3"/>
        <v>10667.238051</v>
      </c>
      <c r="J27" s="181"/>
      <c r="K27" s="176">
        <v>10667.238051</v>
      </c>
      <c r="L27" s="172"/>
      <c r="N27" s="148">
        <v>2008</v>
      </c>
      <c r="O27" s="147">
        <f t="shared" si="4"/>
        <v>14569.444074000001</v>
      </c>
      <c r="P27" s="147">
        <f t="shared" si="4"/>
        <v>12394.970522</v>
      </c>
    </row>
    <row r="28" spans="2:16" ht="12.75">
      <c r="B28" s="165">
        <v>2009</v>
      </c>
      <c r="C28" s="166">
        <f t="shared" si="0"/>
        <v>27087.005776999995</v>
      </c>
      <c r="D28" s="167">
        <f t="shared" si="1"/>
        <v>15204.704771999996</v>
      </c>
      <c r="E28" s="168">
        <f t="shared" si="1"/>
        <v>11882.301005</v>
      </c>
      <c r="F28" s="184">
        <f t="shared" si="2"/>
        <v>17000.664144999995</v>
      </c>
      <c r="G28" s="167">
        <v>15204.704771999996</v>
      </c>
      <c r="H28" s="170">
        <v>1795.9593729999997</v>
      </c>
      <c r="I28" s="171">
        <f t="shared" si="3"/>
        <v>10086.341632</v>
      </c>
      <c r="J28" s="182"/>
      <c r="K28" s="168">
        <v>10086.341632</v>
      </c>
      <c r="L28" s="172"/>
      <c r="N28" s="148">
        <v>2009</v>
      </c>
      <c r="O28" s="147">
        <f aca="true" t="shared" si="5" ref="O28:P30">D28</f>
        <v>15204.704771999996</v>
      </c>
      <c r="P28" s="147">
        <f t="shared" si="5"/>
        <v>11882.301005</v>
      </c>
    </row>
    <row r="29" spans="2:16" ht="12.75">
      <c r="B29" s="173">
        <v>2010</v>
      </c>
      <c r="C29" s="174">
        <f t="shared" si="0"/>
        <v>29436.175124</v>
      </c>
      <c r="D29" s="175">
        <f t="shared" si="1"/>
        <v>16430.850569000002</v>
      </c>
      <c r="E29" s="176">
        <f t="shared" si="1"/>
        <v>13005.324555</v>
      </c>
      <c r="F29" s="185">
        <f t="shared" si="2"/>
        <v>18195.325098</v>
      </c>
      <c r="G29" s="175">
        <v>16430.850569000002</v>
      </c>
      <c r="H29" s="178">
        <v>1764.474529</v>
      </c>
      <c r="I29" s="179">
        <f t="shared" si="3"/>
        <v>11240.850026</v>
      </c>
      <c r="J29" s="181"/>
      <c r="K29" s="176">
        <v>11240.850026</v>
      </c>
      <c r="L29" s="172"/>
      <c r="N29" s="148">
        <v>2010</v>
      </c>
      <c r="O29" s="147">
        <f t="shared" si="5"/>
        <v>16430.850569000002</v>
      </c>
      <c r="P29" s="147">
        <f t="shared" si="5"/>
        <v>13005.324555</v>
      </c>
    </row>
    <row r="30" spans="2:16" ht="12.75">
      <c r="B30" s="165">
        <v>2011</v>
      </c>
      <c r="C30" s="166">
        <f>SUM(D30:E30)</f>
        <v>31820.3508052511</v>
      </c>
      <c r="D30" s="167">
        <f aca="true" t="shared" si="6" ref="D30:E32">SUM(G30,J30)</f>
        <v>17891.5565232511</v>
      </c>
      <c r="E30" s="168">
        <f t="shared" si="6"/>
        <v>13928.794281999999</v>
      </c>
      <c r="F30" s="184">
        <f>SUM(G30:H30)</f>
        <v>19753.0406982511</v>
      </c>
      <c r="G30" s="167">
        <v>17891.5565232511</v>
      </c>
      <c r="H30" s="170">
        <v>1861.484175</v>
      </c>
      <c r="I30" s="171">
        <f>SUM(J30:K30)</f>
        <v>12067.310107</v>
      </c>
      <c r="J30" s="182"/>
      <c r="K30" s="168">
        <v>12067.310107</v>
      </c>
      <c r="L30" s="172"/>
      <c r="N30" s="148">
        <v>2011</v>
      </c>
      <c r="O30" s="147">
        <f t="shared" si="5"/>
        <v>17891.5565232511</v>
      </c>
      <c r="P30" s="147">
        <f t="shared" si="5"/>
        <v>13928.794281999999</v>
      </c>
    </row>
    <row r="31" spans="2:16" ht="12.75">
      <c r="B31" s="1096">
        <v>2012</v>
      </c>
      <c r="C31" s="1097">
        <f>SUM(D31:E31)</f>
        <v>33648.185935</v>
      </c>
      <c r="D31" s="1098">
        <f t="shared" si="6"/>
        <v>18962.169936</v>
      </c>
      <c r="E31" s="1099">
        <f t="shared" si="6"/>
        <v>14686.015999</v>
      </c>
      <c r="F31" s="1100">
        <f>SUM(G31:H31)</f>
        <v>20947.295381</v>
      </c>
      <c r="G31" s="1098">
        <v>18962.169936</v>
      </c>
      <c r="H31" s="1101">
        <v>1985.125445</v>
      </c>
      <c r="I31" s="1102">
        <f>SUM(J31:K31)</f>
        <v>12700.890554</v>
      </c>
      <c r="J31" s="1103"/>
      <c r="K31" s="1099">
        <v>12700.890554</v>
      </c>
      <c r="L31" s="172"/>
      <c r="N31" s="148">
        <v>2012</v>
      </c>
      <c r="O31" s="147">
        <f aca="true" t="shared" si="7" ref="O31:P33">D31</f>
        <v>18962.169936</v>
      </c>
      <c r="P31" s="147">
        <f t="shared" si="7"/>
        <v>14686.015999</v>
      </c>
    </row>
    <row r="32" spans="2:16" ht="12.75">
      <c r="B32" s="1104">
        <v>2013</v>
      </c>
      <c r="C32" s="1105">
        <f>SUM(D32:E32)</f>
        <v>35609.6527</v>
      </c>
      <c r="D32" s="1106">
        <f t="shared" si="6"/>
        <v>19881.575265</v>
      </c>
      <c r="E32" s="1107">
        <f t="shared" si="6"/>
        <v>15728.077435</v>
      </c>
      <c r="F32" s="1108">
        <f>SUM(G32:H32)</f>
        <v>21935.480477</v>
      </c>
      <c r="G32" s="1106">
        <v>19881.575265</v>
      </c>
      <c r="H32" s="1109">
        <v>2053.905212</v>
      </c>
      <c r="I32" s="1110">
        <f>SUM(J32:K32)</f>
        <v>13674.172223</v>
      </c>
      <c r="J32" s="1111"/>
      <c r="K32" s="1107">
        <v>13674.172223</v>
      </c>
      <c r="L32" s="172"/>
      <c r="N32" s="148">
        <v>2013</v>
      </c>
      <c r="O32" s="147">
        <f t="shared" si="7"/>
        <v>19881.575265</v>
      </c>
      <c r="P32" s="147">
        <f t="shared" si="7"/>
        <v>15728.077435</v>
      </c>
    </row>
    <row r="33" spans="2:16" ht="12.75">
      <c r="B33" s="1096">
        <v>2014</v>
      </c>
      <c r="C33" s="1097">
        <f>SUM(D33:E33)</f>
        <v>37325.80105819716</v>
      </c>
      <c r="D33" s="1098">
        <f>SUM(G33,J33)</f>
        <v>20761.99546129155</v>
      </c>
      <c r="E33" s="1099">
        <f>SUM(H33,K33)</f>
        <v>16563.805596905615</v>
      </c>
      <c r="F33" s="1100">
        <f>SUM(G33:H33)</f>
        <v>22779.996057397166</v>
      </c>
      <c r="G33" s="1098">
        <v>20761.99546129155</v>
      </c>
      <c r="H33" s="1101">
        <v>2018.000596105617</v>
      </c>
      <c r="I33" s="1102">
        <f>SUM(J33:K33)</f>
        <v>14545.8050008</v>
      </c>
      <c r="J33" s="1103"/>
      <c r="K33" s="1099">
        <v>14545.8050008</v>
      </c>
      <c r="L33" s="172"/>
      <c r="N33" s="148">
        <v>2014</v>
      </c>
      <c r="O33" s="147">
        <f t="shared" si="7"/>
        <v>20761.99546129155</v>
      </c>
      <c r="P33" s="147">
        <f t="shared" si="7"/>
        <v>16563.805596905615</v>
      </c>
    </row>
    <row r="34" spans="2:16" ht="13.5" thickBot="1">
      <c r="B34" s="173"/>
      <c r="C34" s="174"/>
      <c r="D34" s="175"/>
      <c r="E34" s="176"/>
      <c r="F34" s="185"/>
      <c r="G34" s="175"/>
      <c r="H34" s="178"/>
      <c r="I34" s="179"/>
      <c r="J34" s="186"/>
      <c r="K34" s="176"/>
      <c r="L34" s="172"/>
      <c r="N34" s="148"/>
      <c r="O34" s="147"/>
      <c r="P34" s="147"/>
    </row>
    <row r="35" spans="2:14" ht="12.75" customHeight="1">
      <c r="B35" s="149" t="s">
        <v>273</v>
      </c>
      <c r="C35" s="150">
        <f>(C33/C32)-1</f>
        <v>0.04819334725489077</v>
      </c>
      <c r="D35" s="150">
        <f aca="true" t="shared" si="8" ref="D35:I35">(D33/D32)-1</f>
        <v>0.04428322125166129</v>
      </c>
      <c r="E35" s="150">
        <f t="shared" si="8"/>
        <v>0.05313606608051491</v>
      </c>
      <c r="F35" s="150">
        <f t="shared" si="8"/>
        <v>0.03849998094560392</v>
      </c>
      <c r="G35" s="150">
        <f t="shared" si="8"/>
        <v>0.04428322125166129</v>
      </c>
      <c r="H35" s="150">
        <f t="shared" si="8"/>
        <v>-0.017481145519573804</v>
      </c>
      <c r="I35" s="150">
        <f t="shared" si="8"/>
        <v>0.06374300130094235</v>
      </c>
      <c r="J35" s="187"/>
      <c r="K35" s="150">
        <f>(K33/K32)-1</f>
        <v>0.06374300130094235</v>
      </c>
      <c r="M35" s="188"/>
      <c r="N35" s="188"/>
    </row>
    <row r="36" spans="2:11" ht="12.75" customHeight="1">
      <c r="B36" s="189" t="s">
        <v>274</v>
      </c>
      <c r="C36" s="190">
        <f>((C33/C28)^(1/5))-1</f>
        <v>0.06622688064817162</v>
      </c>
      <c r="D36" s="190">
        <f aca="true" t="shared" si="9" ref="D36:I36">((D33/D28)^(1/5))-1</f>
        <v>0.06428568300649462</v>
      </c>
      <c r="E36" s="190">
        <f t="shared" si="9"/>
        <v>0.06869041677909649</v>
      </c>
      <c r="F36" s="190">
        <f t="shared" si="9"/>
        <v>0.060272631794592746</v>
      </c>
      <c r="G36" s="190">
        <f t="shared" si="9"/>
        <v>0.06428568300649462</v>
      </c>
      <c r="H36" s="190">
        <f t="shared" si="9"/>
        <v>0.023587459340709938</v>
      </c>
      <c r="I36" s="190">
        <f t="shared" si="9"/>
        <v>0.07597162243864997</v>
      </c>
      <c r="J36" s="191"/>
      <c r="K36" s="190">
        <f>((K33/K28)^(1/5))-1</f>
        <v>0.07597162243864997</v>
      </c>
    </row>
    <row r="37" spans="2:11" ht="12.75" customHeight="1">
      <c r="B37" s="192" t="s">
        <v>275</v>
      </c>
      <c r="C37" s="193">
        <f>(C33/C23)-1</f>
        <v>0.9004360318377023</v>
      </c>
      <c r="D37" s="193">
        <f aca="true" t="shared" si="10" ref="D37:I37">(D33/D23)-1</f>
        <v>1.0055032767696512</v>
      </c>
      <c r="E37" s="193">
        <f t="shared" si="10"/>
        <v>0.7833286371746939</v>
      </c>
      <c r="F37" s="193">
        <f t="shared" si="10"/>
        <v>0.8981265335385757</v>
      </c>
      <c r="G37" s="193">
        <f t="shared" si="10"/>
        <v>1.0055032767696512</v>
      </c>
      <c r="H37" s="193">
        <f t="shared" si="10"/>
        <v>0.223925277281519</v>
      </c>
      <c r="I37" s="193">
        <f t="shared" si="10"/>
        <v>0.9040642213400505</v>
      </c>
      <c r="J37" s="194"/>
      <c r="K37" s="193">
        <f>(K33/K23)-1</f>
        <v>0.9040642213400505</v>
      </c>
    </row>
    <row r="38" spans="2:11" ht="12.75" customHeight="1" thickBot="1">
      <c r="B38" s="154" t="s">
        <v>276</v>
      </c>
      <c r="C38" s="195">
        <f>((C33/C23)^(1/10))-1</f>
        <v>0.0663145262893885</v>
      </c>
      <c r="D38" s="195">
        <f aca="true" t="shared" si="11" ref="D38:I38">((D33/D23)^(1/10))-1</f>
        <v>0.0720680112987091</v>
      </c>
      <c r="E38" s="195">
        <f t="shared" si="11"/>
        <v>0.0595541049199495</v>
      </c>
      <c r="F38" s="195">
        <f t="shared" si="11"/>
        <v>0.0661848718675131</v>
      </c>
      <c r="G38" s="195">
        <f t="shared" si="11"/>
        <v>0.0720680112987091</v>
      </c>
      <c r="H38" s="195">
        <f t="shared" si="11"/>
        <v>0.02041184297386134</v>
      </c>
      <c r="I38" s="195">
        <f t="shared" si="11"/>
        <v>0.06651792547769864</v>
      </c>
      <c r="J38" s="194"/>
      <c r="K38" s="195">
        <f>((K33/K23)^(1/10))-1</f>
        <v>0.06651792547769864</v>
      </c>
    </row>
    <row r="39" spans="2:12" ht="12.75">
      <c r="B39" s="151"/>
      <c r="C39" s="155"/>
      <c r="L39" s="1095"/>
    </row>
    <row r="40" spans="2:3" ht="12.75">
      <c r="B40" s="152"/>
      <c r="C40" s="196"/>
    </row>
    <row r="41" ht="12.75">
      <c r="B41" s="197"/>
    </row>
    <row r="42" spans="15:16" ht="12.75">
      <c r="O42" s="144" t="s">
        <v>10</v>
      </c>
      <c r="P42" s="144" t="s">
        <v>11</v>
      </c>
    </row>
    <row r="43" spans="15:16" ht="12.75">
      <c r="O43" s="147"/>
      <c r="P43" s="147"/>
    </row>
    <row r="44" spans="15:16" ht="12.75">
      <c r="O44" s="147"/>
      <c r="P44" s="147"/>
    </row>
    <row r="45" spans="14:16" ht="12.75">
      <c r="N45" s="144">
        <v>1995</v>
      </c>
      <c r="O45" s="147">
        <f aca="true" t="shared" si="12" ref="O45:O61">F14</f>
        <v>8673.708087000005</v>
      </c>
      <c r="P45" s="147">
        <f aca="true" t="shared" si="13" ref="P45:P61">I14</f>
        <v>1175.548041</v>
      </c>
    </row>
    <row r="46" spans="14:16" ht="12.75">
      <c r="N46" s="144">
        <v>1996</v>
      </c>
      <c r="O46" s="147">
        <f t="shared" si="12"/>
        <v>8770.610735999991</v>
      </c>
      <c r="P46" s="147">
        <f t="shared" si="13"/>
        <v>1560.228862</v>
      </c>
    </row>
    <row r="47" spans="14:16" ht="12.75">
      <c r="N47" s="144">
        <v>1997</v>
      </c>
      <c r="O47" s="147">
        <f t="shared" si="12"/>
        <v>9377.89467999999</v>
      </c>
      <c r="P47" s="147">
        <f t="shared" si="13"/>
        <v>3073.3354799999997</v>
      </c>
    </row>
    <row r="48" spans="14:16" ht="12.75">
      <c r="N48" s="144">
        <v>1998</v>
      </c>
      <c r="O48" s="147">
        <f t="shared" si="12"/>
        <v>9878.661572999998</v>
      </c>
      <c r="P48" s="147">
        <f t="shared" si="13"/>
        <v>4129.915250000001</v>
      </c>
    </row>
    <row r="49" spans="14:16" ht="12.75">
      <c r="N49" s="144">
        <v>1999</v>
      </c>
      <c r="O49" s="147">
        <f t="shared" si="12"/>
        <v>10198.89102700001</v>
      </c>
      <c r="P49" s="147">
        <f t="shared" si="13"/>
        <v>4393.000532</v>
      </c>
    </row>
    <row r="50" spans="14:16" ht="12.75">
      <c r="N50" s="144">
        <v>2000</v>
      </c>
      <c r="O50" s="147">
        <f t="shared" si="12"/>
        <v>10763.269271000014</v>
      </c>
      <c r="P50" s="147">
        <f t="shared" si="13"/>
        <v>4782.326121</v>
      </c>
    </row>
    <row r="51" spans="14:16" ht="12.75">
      <c r="N51" s="144">
        <v>2001</v>
      </c>
      <c r="O51" s="147">
        <f t="shared" si="12"/>
        <v>10522.374724999987</v>
      </c>
      <c r="P51" s="147">
        <f t="shared" si="13"/>
        <v>6106.37982</v>
      </c>
    </row>
    <row r="52" spans="14:16" ht="12.75">
      <c r="N52" s="148">
        <v>2002</v>
      </c>
      <c r="O52" s="147">
        <f t="shared" si="12"/>
        <v>11113.547163000001</v>
      </c>
      <c r="P52" s="147">
        <f t="shared" si="13"/>
        <v>6491.778750848</v>
      </c>
    </row>
    <row r="53" spans="14:16" ht="12.75">
      <c r="N53" s="144">
        <v>2003</v>
      </c>
      <c r="O53" s="147">
        <f t="shared" si="12"/>
        <v>11303.613573</v>
      </c>
      <c r="P53" s="147">
        <f t="shared" si="13"/>
        <v>7071.721837000001</v>
      </c>
    </row>
    <row r="54" spans="14:16" ht="12.75">
      <c r="N54" s="148">
        <v>2004</v>
      </c>
      <c r="O54" s="147">
        <f t="shared" si="12"/>
        <v>12001.305316000002</v>
      </c>
      <c r="P54" s="147">
        <f t="shared" si="13"/>
        <v>7639.345794</v>
      </c>
    </row>
    <row r="55" spans="14:16" ht="12.75">
      <c r="N55" s="144">
        <v>2005</v>
      </c>
      <c r="O55" s="147">
        <f t="shared" si="12"/>
        <v>12914.287800222222</v>
      </c>
      <c r="P55" s="147">
        <f t="shared" si="13"/>
        <v>7787.095080000001</v>
      </c>
    </row>
    <row r="56" spans="14:16" ht="12.75">
      <c r="N56" s="148">
        <v>2006</v>
      </c>
      <c r="O56" s="147">
        <f t="shared" si="12"/>
        <v>14043.638326999999</v>
      </c>
      <c r="P56" s="147">
        <f t="shared" si="13"/>
        <v>8246.422825999998</v>
      </c>
    </row>
    <row r="57" spans="14:16" ht="12.75">
      <c r="N57" s="148">
        <v>2007</v>
      </c>
      <c r="O57" s="147">
        <f t="shared" si="12"/>
        <v>15032.180855</v>
      </c>
      <c r="P57" s="147">
        <f t="shared" si="13"/>
        <v>9689.567698</v>
      </c>
    </row>
    <row r="58" spans="14:16" ht="12.75">
      <c r="N58" s="148">
        <v>2008</v>
      </c>
      <c r="O58" s="147">
        <f t="shared" si="12"/>
        <v>16297.176545</v>
      </c>
      <c r="P58" s="147">
        <f t="shared" si="13"/>
        <v>10667.238051</v>
      </c>
    </row>
    <row r="59" spans="14:16" ht="12.75">
      <c r="N59" s="148">
        <v>2009</v>
      </c>
      <c r="O59" s="147">
        <f t="shared" si="12"/>
        <v>17000.664144999995</v>
      </c>
      <c r="P59" s="147">
        <f t="shared" si="13"/>
        <v>10086.341632</v>
      </c>
    </row>
    <row r="60" spans="14:16" ht="12.75">
      <c r="N60" s="148">
        <v>2010</v>
      </c>
      <c r="O60" s="147">
        <f t="shared" si="12"/>
        <v>18195.325098</v>
      </c>
      <c r="P60" s="147">
        <f t="shared" si="13"/>
        <v>11240.850026</v>
      </c>
    </row>
    <row r="61" spans="14:16" ht="12.75">
      <c r="N61" s="148">
        <v>2011</v>
      </c>
      <c r="O61" s="147">
        <f t="shared" si="12"/>
        <v>19753.0406982511</v>
      </c>
      <c r="P61" s="147">
        <f t="shared" si="13"/>
        <v>12067.310107</v>
      </c>
    </row>
    <row r="62" spans="14:16" ht="12.75">
      <c r="N62" s="148">
        <v>2012</v>
      </c>
      <c r="O62" s="147">
        <f>F31</f>
        <v>20947.295381</v>
      </c>
      <c r="P62" s="147">
        <f>I31</f>
        <v>12700.890554</v>
      </c>
    </row>
    <row r="63" spans="14:16" ht="12.75">
      <c r="N63" s="148">
        <v>2013</v>
      </c>
      <c r="O63" s="147">
        <f>F32</f>
        <v>21935.480477</v>
      </c>
      <c r="P63" s="147">
        <f>I32</f>
        <v>13674.172223</v>
      </c>
    </row>
    <row r="64" spans="14:16" ht="12.75">
      <c r="N64" s="144">
        <v>2014</v>
      </c>
      <c r="O64" s="147">
        <f>F33</f>
        <v>22779.996057397166</v>
      </c>
      <c r="P64" s="147">
        <f>I33</f>
        <v>14545.8050008</v>
      </c>
    </row>
  </sheetData>
  <sheetProtection/>
  <mergeCells count="5">
    <mergeCell ref="B10:B11"/>
    <mergeCell ref="C10:E10"/>
    <mergeCell ref="F10:H10"/>
    <mergeCell ref="I10:K10"/>
    <mergeCell ref="A6:J6"/>
  </mergeCells>
  <printOptions horizontalCentered="1" verticalCentered="1"/>
  <pageMargins left="0.68" right="0.59" top="1" bottom="1" header="0" footer="0"/>
  <pageSetup fitToHeight="1" fitToWidth="1" horizontalDpi="600" verticalDpi="6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P84"/>
  <sheetViews>
    <sheetView view="pageBreakPreview" zoomScaleSheetLayoutView="100" workbookViewId="0" topLeftCell="A1">
      <selection activeCell="C31" sqref="C31:C34"/>
    </sheetView>
  </sheetViews>
  <sheetFormatPr defaultColWidth="11.421875" defaultRowHeight="12.75"/>
  <cols>
    <col min="1" max="1" width="4.57421875" style="0" customWidth="1"/>
    <col min="2" max="2" width="22.140625" style="0" customWidth="1"/>
    <col min="3" max="3" width="15.00390625" style="0" customWidth="1"/>
    <col min="4" max="4" width="13.28125" style="0" customWidth="1"/>
    <col min="5" max="5" width="12.7109375" style="0" customWidth="1"/>
    <col min="6" max="6" width="14.00390625" style="0" customWidth="1"/>
    <col min="7" max="7" width="11.00390625" style="0" customWidth="1"/>
    <col min="8" max="8" width="12.421875" style="0" customWidth="1"/>
    <col min="9" max="9" width="11.7109375" style="0" customWidth="1"/>
    <col min="10" max="10" width="11.00390625" style="0" customWidth="1"/>
    <col min="11" max="11" width="12.28125" style="0" customWidth="1"/>
    <col min="15" max="15" width="13.421875" style="0" bestFit="1" customWidth="1"/>
    <col min="16" max="16" width="12.7109375" style="0" bestFit="1" customWidth="1"/>
  </cols>
  <sheetData>
    <row r="4" ht="18">
      <c r="A4" s="9" t="s">
        <v>252</v>
      </c>
    </row>
    <row r="7" spans="2:11" ht="12.75">
      <c r="B7" s="1233" t="s">
        <v>18</v>
      </c>
      <c r="C7" s="1235" t="s">
        <v>50</v>
      </c>
      <c r="D7" s="1236"/>
      <c r="E7" s="1236"/>
      <c r="F7" s="1235" t="s">
        <v>10</v>
      </c>
      <c r="G7" s="1236"/>
      <c r="H7" s="1236"/>
      <c r="I7" s="1237" t="s">
        <v>11</v>
      </c>
      <c r="J7" s="1236"/>
      <c r="K7" s="1238"/>
    </row>
    <row r="8" spans="2:11" ht="12.75">
      <c r="B8" s="1234"/>
      <c r="C8" s="1156" t="s">
        <v>0</v>
      </c>
      <c r="D8" s="1157" t="s">
        <v>16</v>
      </c>
      <c r="E8" s="1158" t="s">
        <v>17</v>
      </c>
      <c r="F8" s="1159" t="s">
        <v>12</v>
      </c>
      <c r="G8" s="1157" t="s">
        <v>16</v>
      </c>
      <c r="H8" s="1158" t="s">
        <v>17</v>
      </c>
      <c r="I8" s="1160" t="s">
        <v>0</v>
      </c>
      <c r="J8" s="1157" t="s">
        <v>16</v>
      </c>
      <c r="K8" s="1161" t="s">
        <v>17</v>
      </c>
    </row>
    <row r="9" spans="2:11" ht="12.75">
      <c r="B9" s="1162"/>
      <c r="C9" s="1163"/>
      <c r="D9" s="1164"/>
      <c r="E9" s="1165"/>
      <c r="F9" s="1166"/>
      <c r="G9" s="1164"/>
      <c r="H9" s="1165"/>
      <c r="I9" s="1167"/>
      <c r="J9" s="1164"/>
      <c r="K9" s="1168"/>
    </row>
    <row r="10" spans="2:13" ht="12.75">
      <c r="B10" s="59">
        <v>1995</v>
      </c>
      <c r="C10" s="60">
        <f>SUM(D10:E10)</f>
        <v>826676.0016897423</v>
      </c>
      <c r="D10" s="61">
        <v>652594.7050503913</v>
      </c>
      <c r="E10" s="62">
        <v>174081.29663935103</v>
      </c>
      <c r="F10" s="63">
        <f aca="true" t="shared" si="0" ref="F10:F19">SUM(G10:H10)</f>
        <v>776779.1913939897</v>
      </c>
      <c r="G10" s="61">
        <v>652594.7050503913</v>
      </c>
      <c r="H10" s="62">
        <v>124184.48634359846</v>
      </c>
      <c r="I10" s="64">
        <f aca="true" t="shared" si="1" ref="I10:I19">SUM(J10:K10)</f>
        <v>49896.81029575256</v>
      </c>
      <c r="J10" s="61"/>
      <c r="K10" s="65">
        <v>49896.81029575256</v>
      </c>
      <c r="L10" s="7"/>
      <c r="M10" s="5"/>
    </row>
    <row r="11" spans="2:13" ht="12.75">
      <c r="B11" s="41">
        <v>1996</v>
      </c>
      <c r="C11" s="42">
        <f>SUM(D11:E11)</f>
        <v>893370.3951408174</v>
      </c>
      <c r="D11" s="25">
        <v>703942.0843935553</v>
      </c>
      <c r="E11" s="24">
        <v>189428.31074726206</v>
      </c>
      <c r="F11" s="66">
        <f t="shared" si="0"/>
        <v>822460.2785926422</v>
      </c>
      <c r="G11" s="25">
        <v>703942.0843935553</v>
      </c>
      <c r="H11" s="24">
        <v>118518.1941990869</v>
      </c>
      <c r="I11" s="23">
        <f t="shared" si="1"/>
        <v>70910.11654817517</v>
      </c>
      <c r="J11" s="25"/>
      <c r="K11" s="44">
        <v>70910.11654817517</v>
      </c>
      <c r="L11" s="7"/>
      <c r="M11" s="5"/>
    </row>
    <row r="12" spans="2:13" ht="12.75">
      <c r="B12" s="41">
        <v>1997</v>
      </c>
      <c r="C12" s="42">
        <f>SUM(D12:E12)</f>
        <v>1019537.5366169369</v>
      </c>
      <c r="D12" s="25">
        <v>739882.0685993778</v>
      </c>
      <c r="E12" s="24">
        <v>279655.46801755915</v>
      </c>
      <c r="F12" s="66">
        <f t="shared" si="0"/>
        <v>859351.6795904302</v>
      </c>
      <c r="G12" s="25">
        <v>739882.0685993778</v>
      </c>
      <c r="H12" s="24">
        <v>119469.61099105242</v>
      </c>
      <c r="I12" s="23">
        <f t="shared" si="1"/>
        <v>160185.8570265067</v>
      </c>
      <c r="J12" s="25"/>
      <c r="K12" s="44">
        <v>160185.8570265067</v>
      </c>
      <c r="L12" s="7"/>
      <c r="M12" s="5"/>
    </row>
    <row r="13" spans="2:13" ht="12.75">
      <c r="B13" s="41">
        <v>1998</v>
      </c>
      <c r="C13" s="42">
        <f aca="true" t="shared" si="2" ref="C13:C19">SUM(D13:E13)</f>
        <v>988144.9705452514</v>
      </c>
      <c r="D13" s="25">
        <v>678887.1489557544</v>
      </c>
      <c r="E13" s="24">
        <v>309257.8215894971</v>
      </c>
      <c r="F13" s="66">
        <f t="shared" si="0"/>
        <v>786060.9996556386</v>
      </c>
      <c r="G13" s="25">
        <v>678887.1489557544</v>
      </c>
      <c r="H13" s="24">
        <v>107173.85069988419</v>
      </c>
      <c r="I13" s="23">
        <f t="shared" si="1"/>
        <v>202083.9708896129</v>
      </c>
      <c r="J13" s="25"/>
      <c r="K13" s="44">
        <v>202083.9708896129</v>
      </c>
      <c r="L13" s="7"/>
      <c r="M13" s="5"/>
    </row>
    <row r="14" spans="2:13" ht="12.75">
      <c r="B14" s="41">
        <v>1999</v>
      </c>
      <c r="C14" s="42">
        <f t="shared" si="2"/>
        <v>991959.3682667302</v>
      </c>
      <c r="D14" s="25">
        <v>670509.978649152</v>
      </c>
      <c r="E14" s="24">
        <v>321449.38961757824</v>
      </c>
      <c r="F14" s="66">
        <f t="shared" si="0"/>
        <v>778389.1398539399</v>
      </c>
      <c r="G14" s="25">
        <v>670509.978649152</v>
      </c>
      <c r="H14" s="24">
        <v>107879.16120478789</v>
      </c>
      <c r="I14" s="23">
        <f t="shared" si="1"/>
        <v>213570.22841279037</v>
      </c>
      <c r="J14" s="25"/>
      <c r="K14" s="44">
        <v>213570.22841279037</v>
      </c>
      <c r="L14" s="7"/>
      <c r="M14" s="5"/>
    </row>
    <row r="15" spans="2:13" ht="12.75">
      <c r="B15" s="41">
        <v>2000</v>
      </c>
      <c r="C15" s="42">
        <f t="shared" si="2"/>
        <v>1113069.5002683792</v>
      </c>
      <c r="D15" s="25">
        <v>740329.4393599222</v>
      </c>
      <c r="E15" s="24">
        <v>372740.06090845715</v>
      </c>
      <c r="F15" s="66">
        <f t="shared" si="0"/>
        <v>866072.136728225</v>
      </c>
      <c r="G15" s="25">
        <v>740329.4393599222</v>
      </c>
      <c r="H15" s="24">
        <v>125742.6973683028</v>
      </c>
      <c r="I15" s="23">
        <f t="shared" si="1"/>
        <v>246997.36354015436</v>
      </c>
      <c r="J15" s="25"/>
      <c r="K15" s="44">
        <v>246997.36354015436</v>
      </c>
      <c r="L15" s="7"/>
      <c r="M15" s="5"/>
    </row>
    <row r="16" spans="2:13" ht="12.75">
      <c r="B16" s="41">
        <v>2001</v>
      </c>
      <c r="C16" s="42">
        <f>SUM(D16:E16)</f>
        <v>1139358.5138385482</v>
      </c>
      <c r="D16" s="25">
        <v>761192.0579289157</v>
      </c>
      <c r="E16" s="24">
        <v>378166.4559096325</v>
      </c>
      <c r="F16" s="66">
        <f>SUM(G16:H16)</f>
        <v>862632.2836858832</v>
      </c>
      <c r="G16" s="25">
        <v>761192.0579289157</v>
      </c>
      <c r="H16" s="24">
        <v>101440.22575696744</v>
      </c>
      <c r="I16" s="23">
        <f t="shared" si="1"/>
        <v>276726.23015266506</v>
      </c>
      <c r="J16" s="26"/>
      <c r="K16" s="44">
        <v>276726.23015266506</v>
      </c>
      <c r="L16" s="7"/>
      <c r="M16" s="5"/>
    </row>
    <row r="17" spans="2:12" ht="12.75">
      <c r="B17" s="41">
        <v>2002</v>
      </c>
      <c r="C17" s="42">
        <f t="shared" si="2"/>
        <v>1157067.1602677335</v>
      </c>
      <c r="D17" s="25">
        <v>764543.090328428</v>
      </c>
      <c r="E17" s="24">
        <v>392524.0699393055</v>
      </c>
      <c r="F17" s="66">
        <f t="shared" si="0"/>
        <v>862228.1175744301</v>
      </c>
      <c r="G17" s="25">
        <v>764543.090328428</v>
      </c>
      <c r="H17" s="24">
        <v>97685.02724600217</v>
      </c>
      <c r="I17" s="23">
        <f t="shared" si="1"/>
        <v>294839.0426933033</v>
      </c>
      <c r="J17" s="26"/>
      <c r="K17" s="44">
        <v>294839.0426933033</v>
      </c>
      <c r="L17" s="7"/>
    </row>
    <row r="18" spans="2:12" ht="12.75">
      <c r="B18" s="41">
        <v>2003</v>
      </c>
      <c r="C18" s="42">
        <f>SUM(D18:E18)</f>
        <v>1217210.1436706816</v>
      </c>
      <c r="D18" s="25">
        <v>811107.1463979532</v>
      </c>
      <c r="E18" s="24">
        <v>406102.9972727285</v>
      </c>
      <c r="F18" s="66">
        <f>SUM(G18:H18)</f>
        <v>901096.172415453</v>
      </c>
      <c r="G18" s="25">
        <v>811107.1463979532</v>
      </c>
      <c r="H18" s="24">
        <v>89989.02601749991</v>
      </c>
      <c r="I18" s="23">
        <f>SUM(J18:K18)</f>
        <v>316113.97125522856</v>
      </c>
      <c r="J18" s="26"/>
      <c r="K18" s="44">
        <v>316113.97125522856</v>
      </c>
      <c r="L18" s="7"/>
    </row>
    <row r="19" spans="2:12" ht="12.75">
      <c r="B19" s="41">
        <v>2004</v>
      </c>
      <c r="C19" s="42">
        <f t="shared" si="2"/>
        <v>1382300.0118101076</v>
      </c>
      <c r="D19" s="25">
        <v>897997.7068505394</v>
      </c>
      <c r="E19" s="24">
        <v>484302.3049595683</v>
      </c>
      <c r="F19" s="66">
        <f t="shared" si="0"/>
        <v>986870.1176782872</v>
      </c>
      <c r="G19" s="25">
        <v>897997.7068505394</v>
      </c>
      <c r="H19" s="24">
        <v>88872.41082774772</v>
      </c>
      <c r="I19" s="23">
        <f t="shared" si="1"/>
        <v>395429.8941318206</v>
      </c>
      <c r="J19" s="26"/>
      <c r="K19" s="44">
        <v>395429.8941318206</v>
      </c>
      <c r="L19" s="7"/>
    </row>
    <row r="20" spans="2:12" ht="12.75">
      <c r="B20" s="41">
        <v>2005</v>
      </c>
      <c r="C20" s="42">
        <f aca="true" t="shared" si="3" ref="C20:C29">SUM(D20:E20)</f>
        <v>1579209.27109638</v>
      </c>
      <c r="D20" s="25">
        <v>1048137.0214944701</v>
      </c>
      <c r="E20" s="24">
        <v>531072.24960191</v>
      </c>
      <c r="F20" s="66">
        <f aca="true" t="shared" si="4" ref="F20:F29">SUM(G20:H20)</f>
        <v>1147775.8928376874</v>
      </c>
      <c r="G20" s="25">
        <v>1048137.0214944701</v>
      </c>
      <c r="H20" s="24">
        <v>99638.87134321743</v>
      </c>
      <c r="I20" s="23">
        <f aca="true" t="shared" si="5" ref="I20:I29">SUM(J20:K20)</f>
        <v>431433.3782586926</v>
      </c>
      <c r="J20" s="26"/>
      <c r="K20" s="44">
        <v>431433.3782586926</v>
      </c>
      <c r="L20" s="7"/>
    </row>
    <row r="21" spans="2:12" ht="12.75">
      <c r="B21" s="41">
        <v>2006</v>
      </c>
      <c r="C21" s="42">
        <f t="shared" si="3"/>
        <v>1683168.9043059072</v>
      </c>
      <c r="D21" s="25">
        <v>1120521.0639498956</v>
      </c>
      <c r="E21" s="24">
        <v>562647.8403560116</v>
      </c>
      <c r="F21" s="66">
        <f t="shared" si="4"/>
        <v>1222413.6377595204</v>
      </c>
      <c r="G21" s="25">
        <v>1120521.0639498956</v>
      </c>
      <c r="H21" s="24">
        <v>101892.57380962497</v>
      </c>
      <c r="I21" s="23">
        <f t="shared" si="5"/>
        <v>460755.2665463867</v>
      </c>
      <c r="J21" s="26"/>
      <c r="K21" s="44">
        <v>460755.2665463867</v>
      </c>
      <c r="L21" s="7"/>
    </row>
    <row r="22" spans="2:12" ht="12.75">
      <c r="B22" s="41">
        <v>2007</v>
      </c>
      <c r="C22" s="42">
        <f t="shared" si="3"/>
        <v>1830631.6634342424</v>
      </c>
      <c r="D22" s="25">
        <v>1213689.4778540342</v>
      </c>
      <c r="E22" s="24">
        <v>616942.1855802081</v>
      </c>
      <c r="F22" s="66">
        <f t="shared" si="4"/>
        <v>1305447.8754961956</v>
      </c>
      <c r="G22" s="25">
        <v>1213689.4778540342</v>
      </c>
      <c r="H22" s="24">
        <v>91758.39764216138</v>
      </c>
      <c r="I22" s="23">
        <f t="shared" si="5"/>
        <v>525183.7879380467</v>
      </c>
      <c r="J22" s="26"/>
      <c r="K22" s="44">
        <v>525183.7879380467</v>
      </c>
      <c r="L22" s="7"/>
    </row>
    <row r="23" spans="2:12" ht="12.75">
      <c r="B23" s="41">
        <v>2008</v>
      </c>
      <c r="C23" s="42">
        <f t="shared" si="3"/>
        <v>2216099.9731833665</v>
      </c>
      <c r="D23" s="25">
        <v>1393393.8557439279</v>
      </c>
      <c r="E23" s="24">
        <v>822706.1174394387</v>
      </c>
      <c r="F23" s="66">
        <f t="shared" si="4"/>
        <v>1501002.7378177985</v>
      </c>
      <c r="G23" s="25">
        <v>1393393.8557439279</v>
      </c>
      <c r="H23" s="24">
        <v>107608.88207387061</v>
      </c>
      <c r="I23" s="23">
        <f t="shared" si="5"/>
        <v>715097.2353655681</v>
      </c>
      <c r="J23" s="26"/>
      <c r="K23" s="44">
        <v>715097.2353655681</v>
      </c>
      <c r="L23" s="7"/>
    </row>
    <row r="24" spans="2:12" ht="12.75">
      <c r="B24" s="41">
        <v>2009</v>
      </c>
      <c r="C24" s="42">
        <f t="shared" si="3"/>
        <v>2236058.1538174003</v>
      </c>
      <c r="D24" s="25">
        <v>1556915.7010486</v>
      </c>
      <c r="E24" s="24">
        <v>679142.4527688001</v>
      </c>
      <c r="F24" s="66">
        <f t="shared" si="4"/>
        <v>1675664.7528214</v>
      </c>
      <c r="G24" s="25">
        <v>1556915.7010486</v>
      </c>
      <c r="H24" s="24">
        <v>118749.05177280001</v>
      </c>
      <c r="I24" s="23">
        <f t="shared" si="5"/>
        <v>560393.400996</v>
      </c>
      <c r="J24" s="26"/>
      <c r="K24" s="44">
        <v>560393.400996</v>
      </c>
      <c r="L24" s="7"/>
    </row>
    <row r="25" spans="2:12" ht="12.75">
      <c r="B25" s="41">
        <v>2010</v>
      </c>
      <c r="C25" s="42">
        <f t="shared" si="3"/>
        <v>2448535.028202959</v>
      </c>
      <c r="D25" s="25">
        <v>1718589.3030064055</v>
      </c>
      <c r="E25" s="24">
        <v>729945.7251965533</v>
      </c>
      <c r="F25" s="66">
        <f t="shared" si="4"/>
        <v>1841104.1163105767</v>
      </c>
      <c r="G25" s="25">
        <v>1718589.3030064055</v>
      </c>
      <c r="H25" s="24">
        <v>122514.81330417127</v>
      </c>
      <c r="I25" s="23">
        <f t="shared" si="5"/>
        <v>607430.911892382</v>
      </c>
      <c r="J25" s="26"/>
      <c r="K25" s="44">
        <v>607430.911892382</v>
      </c>
      <c r="L25" s="7"/>
    </row>
    <row r="26" spans="2:12" ht="12.75">
      <c r="B26" s="41">
        <v>2011</v>
      </c>
      <c r="C26" s="42">
        <f t="shared" si="3"/>
        <v>2860391.5553587964</v>
      </c>
      <c r="D26" s="25">
        <f aca="true" t="shared" si="6" ref="D26:E29">SUM(G26,J26)</f>
        <v>1984402.4158051817</v>
      </c>
      <c r="E26" s="24">
        <f t="shared" si="6"/>
        <v>875989.1395536148</v>
      </c>
      <c r="F26" s="66">
        <f t="shared" si="4"/>
        <v>2130475.7425380684</v>
      </c>
      <c r="G26" s="25">
        <v>1984402.4158051817</v>
      </c>
      <c r="H26" s="24">
        <v>146073.3267328866</v>
      </c>
      <c r="I26" s="25">
        <f t="shared" si="5"/>
        <v>729915.8128207282</v>
      </c>
      <c r="J26" s="126"/>
      <c r="K26" s="43">
        <v>729915.8128207282</v>
      </c>
      <c r="L26" s="7"/>
    </row>
    <row r="27" spans="2:12" ht="12.75">
      <c r="B27" s="41">
        <v>2012</v>
      </c>
      <c r="C27" s="42">
        <f t="shared" si="3"/>
        <v>3299125.499327013</v>
      </c>
      <c r="D27" s="25">
        <f t="shared" si="6"/>
        <v>2313676.253838757</v>
      </c>
      <c r="E27" s="24">
        <f t="shared" si="6"/>
        <v>985449.2454882558</v>
      </c>
      <c r="F27" s="66">
        <f t="shared" si="4"/>
        <v>2474533.5608113473</v>
      </c>
      <c r="G27" s="25">
        <v>2313676.253838757</v>
      </c>
      <c r="H27" s="24">
        <v>160857.30697259022</v>
      </c>
      <c r="I27" s="25">
        <f t="shared" si="5"/>
        <v>824591.9385156656</v>
      </c>
      <c r="J27" s="126"/>
      <c r="K27" s="43">
        <v>824591.9385156656</v>
      </c>
      <c r="L27" s="7"/>
    </row>
    <row r="28" spans="2:12" ht="12.75">
      <c r="B28" s="41">
        <v>2013</v>
      </c>
      <c r="C28" s="42">
        <f>SUM(D28:E28)</f>
        <v>3536226.329451488</v>
      </c>
      <c r="D28" s="25">
        <f>SUM(G28,J28)</f>
        <v>2432390.4404826746</v>
      </c>
      <c r="E28" s="24">
        <f>SUM(H28,K28)</f>
        <v>1103835.8889688132</v>
      </c>
      <c r="F28" s="66">
        <f>SUM(G28:H28)</f>
        <v>2617666.037743001</v>
      </c>
      <c r="G28" s="25">
        <v>2432390.4404826746</v>
      </c>
      <c r="H28" s="24">
        <v>185275.59726032626</v>
      </c>
      <c r="I28" s="25">
        <f>SUM(J28:K28)</f>
        <v>918560.2917084871</v>
      </c>
      <c r="J28" s="126"/>
      <c r="K28" s="43">
        <v>918560.2917084871</v>
      </c>
      <c r="L28" s="7"/>
    </row>
    <row r="29" spans="2:12" ht="12.75">
      <c r="B29" s="41">
        <v>2014</v>
      </c>
      <c r="C29" s="42">
        <f t="shared" si="3"/>
        <v>4025189.2859027768</v>
      </c>
      <c r="D29" s="25">
        <f t="shared" si="6"/>
        <v>2788496.0176665946</v>
      </c>
      <c r="E29" s="24">
        <f t="shared" si="6"/>
        <v>1236693.2682361822</v>
      </c>
      <c r="F29" s="66">
        <f t="shared" si="4"/>
        <v>2974057.6040995135</v>
      </c>
      <c r="G29" s="25">
        <v>2788496.0176665946</v>
      </c>
      <c r="H29" s="24">
        <v>185561.58643291882</v>
      </c>
      <c r="I29" s="25">
        <f t="shared" si="5"/>
        <v>1051131.6818032633</v>
      </c>
      <c r="J29" s="126"/>
      <c r="K29" s="43">
        <v>1051131.6818032633</v>
      </c>
      <c r="L29" s="7"/>
    </row>
    <row r="30" spans="2:12" ht="13.5" thickBot="1">
      <c r="B30" s="130"/>
      <c r="C30" s="533"/>
      <c r="D30" s="25"/>
      <c r="E30" s="560"/>
      <c r="F30" s="24"/>
      <c r="G30" s="25"/>
      <c r="H30" s="559"/>
      <c r="I30" s="558"/>
      <c r="J30" s="561"/>
      <c r="K30" s="44"/>
      <c r="L30" s="7"/>
    </row>
    <row r="31" spans="2:11" ht="12.75">
      <c r="B31" s="141" t="s">
        <v>273</v>
      </c>
      <c r="C31" s="86">
        <f>(C29/C28)-1</f>
        <v>0.13827252864980877</v>
      </c>
      <c r="D31" s="86">
        <f aca="true" t="shared" si="7" ref="D31:I31">(D29/D28)-1</f>
        <v>0.14640148689009624</v>
      </c>
      <c r="E31" s="86">
        <f t="shared" si="7"/>
        <v>0.1203597206750382</v>
      </c>
      <c r="F31" s="86">
        <f t="shared" si="7"/>
        <v>0.1361486000191987</v>
      </c>
      <c r="G31" s="86">
        <f t="shared" si="7"/>
        <v>0.14640148689009624</v>
      </c>
      <c r="H31" s="86">
        <f t="shared" si="7"/>
        <v>0.0015435879134730879</v>
      </c>
      <c r="I31" s="86">
        <f t="shared" si="7"/>
        <v>0.1443251915976016</v>
      </c>
      <c r="J31" s="102"/>
      <c r="K31" s="86">
        <f>(K29/K28)-1</f>
        <v>0.1443251915976016</v>
      </c>
    </row>
    <row r="32" spans="2:11" ht="12.75">
      <c r="B32" s="112" t="s">
        <v>274</v>
      </c>
      <c r="C32" s="79">
        <f>((C29/C24)^(1/5))-1</f>
        <v>0.12476201930006114</v>
      </c>
      <c r="D32" s="79">
        <f aca="true" t="shared" si="8" ref="D32:I32">((D29/D24)^(1/5))-1</f>
        <v>0.12362394596926363</v>
      </c>
      <c r="E32" s="79">
        <f t="shared" si="8"/>
        <v>0.12735377543536863</v>
      </c>
      <c r="F32" s="79">
        <f t="shared" si="8"/>
        <v>0.12158566081488775</v>
      </c>
      <c r="G32" s="79">
        <f t="shared" si="8"/>
        <v>0.12362394596926363</v>
      </c>
      <c r="H32" s="79">
        <f t="shared" si="8"/>
        <v>0.09338115739792063</v>
      </c>
      <c r="I32" s="79">
        <f t="shared" si="8"/>
        <v>0.13405161848413494</v>
      </c>
      <c r="J32" s="103"/>
      <c r="K32" s="79">
        <f>((K29/K24)^(1/5))-1</f>
        <v>0.13405161848413494</v>
      </c>
    </row>
    <row r="33" spans="2:12" ht="12.75">
      <c r="B33" s="143" t="s">
        <v>275</v>
      </c>
      <c r="C33" s="88">
        <f>+C29/C19-1</f>
        <v>1.9119505545195161</v>
      </c>
      <c r="D33" s="88">
        <f aca="true" t="shared" si="9" ref="D33:I33">+D29/D19-1</f>
        <v>2.105237347928668</v>
      </c>
      <c r="E33" s="88">
        <f t="shared" si="9"/>
        <v>1.553556436902415</v>
      </c>
      <c r="F33" s="88">
        <f t="shared" si="9"/>
        <v>2.0136261609544808</v>
      </c>
      <c r="G33" s="88">
        <f t="shared" si="9"/>
        <v>2.105237347928668</v>
      </c>
      <c r="H33" s="88">
        <f t="shared" si="9"/>
        <v>1.0879549086675935</v>
      </c>
      <c r="I33" s="88">
        <f t="shared" si="9"/>
        <v>1.658199841241284</v>
      </c>
      <c r="J33" s="104"/>
      <c r="K33" s="88">
        <f>+K29/K19-1</f>
        <v>1.658199841241284</v>
      </c>
      <c r="L33" s="101"/>
    </row>
    <row r="34" spans="2:12" ht="13.5" thickBot="1">
      <c r="B34" s="157" t="s">
        <v>276</v>
      </c>
      <c r="C34" s="87">
        <f>((C29/C19)^(1/10))-1</f>
        <v>0.11280328655007654</v>
      </c>
      <c r="D34" s="87">
        <f aca="true" t="shared" si="10" ref="D34:I34">((D29/D19)^(1/10))-1</f>
        <v>0.11997796981114806</v>
      </c>
      <c r="E34" s="87">
        <f t="shared" si="10"/>
        <v>0.09828372007714492</v>
      </c>
      <c r="F34" s="87">
        <f t="shared" si="10"/>
        <v>0.11662908997303267</v>
      </c>
      <c r="G34" s="87">
        <f t="shared" si="10"/>
        <v>0.11997796981114806</v>
      </c>
      <c r="H34" s="87">
        <f t="shared" si="10"/>
        <v>0.07639609005033843</v>
      </c>
      <c r="I34" s="87">
        <f t="shared" si="10"/>
        <v>0.1027035247261956</v>
      </c>
      <c r="J34" s="104"/>
      <c r="K34" s="87">
        <f>((K29/K19)^(1/10))-1</f>
        <v>0.1027035247261956</v>
      </c>
      <c r="L34" s="101"/>
    </row>
    <row r="35" spans="2:3" ht="12.75">
      <c r="B35" s="8"/>
      <c r="C35" s="58"/>
    </row>
    <row r="36" ht="12.75">
      <c r="B36" s="57"/>
    </row>
    <row r="40" spans="14:16" ht="12.75">
      <c r="N40" s="81"/>
      <c r="O40" s="3" t="s">
        <v>8</v>
      </c>
      <c r="P40" s="3" t="s">
        <v>9</v>
      </c>
    </row>
    <row r="41" spans="14:16" ht="12.75">
      <c r="N41" s="82">
        <v>1995</v>
      </c>
      <c r="O41" s="83">
        <v>652594.7050503913</v>
      </c>
      <c r="P41" s="83">
        <v>174081.29663935103</v>
      </c>
    </row>
    <row r="42" spans="14:16" ht="12.75">
      <c r="N42" s="82">
        <v>1996</v>
      </c>
      <c r="O42" s="83">
        <v>703942.0843935553</v>
      </c>
      <c r="P42" s="83">
        <v>189428.31074726206</v>
      </c>
    </row>
    <row r="43" spans="14:16" ht="12.75">
      <c r="N43" s="82">
        <v>1997</v>
      </c>
      <c r="O43" s="83">
        <v>739882.0685993778</v>
      </c>
      <c r="P43" s="83">
        <v>279655.46801755915</v>
      </c>
    </row>
    <row r="44" spans="14:16" ht="12.75">
      <c r="N44" s="82">
        <v>1998</v>
      </c>
      <c r="O44" s="83">
        <v>678887.1489557544</v>
      </c>
      <c r="P44" s="83">
        <v>309257.8215894971</v>
      </c>
    </row>
    <row r="45" spans="14:16" ht="12.75">
      <c r="N45" s="82">
        <v>1999</v>
      </c>
      <c r="O45" s="83">
        <v>670509.978649152</v>
      </c>
      <c r="P45" s="83">
        <v>321449.38961757824</v>
      </c>
    </row>
    <row r="46" spans="14:16" ht="12.75">
      <c r="N46" s="82">
        <v>2000</v>
      </c>
      <c r="O46" s="83">
        <v>740329.4393599222</v>
      </c>
      <c r="P46" s="83">
        <v>372740.06090845715</v>
      </c>
    </row>
    <row r="47" spans="14:16" ht="12.75">
      <c r="N47" s="82">
        <v>2001</v>
      </c>
      <c r="O47" s="83">
        <v>761192.0579289157</v>
      </c>
      <c r="P47" s="83">
        <v>378166.4559096325</v>
      </c>
    </row>
    <row r="48" spans="14:16" ht="12.75">
      <c r="N48" s="82">
        <v>2002</v>
      </c>
      <c r="O48" s="83">
        <v>764543.090328428</v>
      </c>
      <c r="P48" s="83">
        <v>392524.0699393055</v>
      </c>
    </row>
    <row r="49" spans="14:16" ht="12.75">
      <c r="N49" s="82">
        <v>2003</v>
      </c>
      <c r="O49" s="83">
        <v>811107.1463979532</v>
      </c>
      <c r="P49" s="83">
        <v>406102.9972727285</v>
      </c>
    </row>
    <row r="50" spans="14:16" ht="12.75">
      <c r="N50" s="82">
        <v>2004</v>
      </c>
      <c r="O50" s="83">
        <v>897997.7068505394</v>
      </c>
      <c r="P50" s="83">
        <v>484302.3049595683</v>
      </c>
    </row>
    <row r="51" spans="14:16" ht="12.75">
      <c r="N51" s="82">
        <v>2005</v>
      </c>
      <c r="O51" s="83">
        <v>1048137.0214944701</v>
      </c>
      <c r="P51" s="83">
        <v>531072.24960191</v>
      </c>
    </row>
    <row r="52" spans="14:16" ht="12.75">
      <c r="N52" s="82">
        <v>2006</v>
      </c>
      <c r="O52" s="83">
        <v>1120521.0639498956</v>
      </c>
      <c r="P52" s="83">
        <v>562647.8403560116</v>
      </c>
    </row>
    <row r="53" spans="14:16" ht="12.75">
      <c r="N53" s="82">
        <v>2007</v>
      </c>
      <c r="O53" s="83">
        <v>1213689.4778540342</v>
      </c>
      <c r="P53" s="83">
        <v>616942.1855802081</v>
      </c>
    </row>
    <row r="54" spans="14:16" ht="12.75">
      <c r="N54" s="82">
        <v>2008</v>
      </c>
      <c r="O54" s="83">
        <v>1393393.8557439279</v>
      </c>
      <c r="P54" s="83">
        <v>822706.1174394387</v>
      </c>
    </row>
    <row r="55" spans="14:16" ht="12.75">
      <c r="N55" s="82">
        <v>2009</v>
      </c>
      <c r="O55" s="83">
        <v>1556915.7010486</v>
      </c>
      <c r="P55" s="83">
        <v>679142.4527688001</v>
      </c>
    </row>
    <row r="56" spans="14:16" ht="12.75">
      <c r="N56" s="82">
        <v>2010</v>
      </c>
      <c r="O56" s="83">
        <v>1718589.3030064055</v>
      </c>
      <c r="P56" s="83">
        <v>729945.7251965533</v>
      </c>
    </row>
    <row r="57" spans="14:16" ht="12.75">
      <c r="N57" s="82">
        <v>2011</v>
      </c>
      <c r="O57" s="83">
        <v>1984402.4158051817</v>
      </c>
      <c r="P57" s="83">
        <v>875989.1395536148</v>
      </c>
    </row>
    <row r="58" spans="14:16" ht="12.75">
      <c r="N58" s="82">
        <v>2012</v>
      </c>
      <c r="O58" s="83">
        <v>2313676.253838757</v>
      </c>
      <c r="P58" s="83">
        <v>985449.2454882558</v>
      </c>
    </row>
    <row r="59" spans="14:16" ht="12.75">
      <c r="N59" s="82">
        <v>2013</v>
      </c>
      <c r="O59" s="83">
        <v>2432390.4404826746</v>
      </c>
      <c r="P59" s="83">
        <v>1103835.8889688132</v>
      </c>
    </row>
    <row r="60" spans="14:16" ht="12.75">
      <c r="N60" s="82">
        <v>2014</v>
      </c>
      <c r="O60" s="83">
        <v>2788496.0176665946</v>
      </c>
      <c r="P60" s="83">
        <v>1236693.2682361822</v>
      </c>
    </row>
    <row r="64" spans="14:16" ht="12.75">
      <c r="N64" s="81"/>
      <c r="O64" s="89" t="s">
        <v>10</v>
      </c>
      <c r="P64" s="89" t="s">
        <v>11</v>
      </c>
    </row>
    <row r="65" spans="14:16" ht="12.75">
      <c r="N65" s="82">
        <v>1995</v>
      </c>
      <c r="O65" s="83">
        <v>776779.1913939897</v>
      </c>
      <c r="P65" s="83">
        <v>49896.81029575256</v>
      </c>
    </row>
    <row r="66" spans="14:16" ht="12.75">
      <c r="N66" s="82">
        <v>1996</v>
      </c>
      <c r="O66" s="83">
        <v>822460.2785926422</v>
      </c>
      <c r="P66" s="83">
        <v>70910.11654817517</v>
      </c>
    </row>
    <row r="67" spans="14:16" ht="12.75">
      <c r="N67" s="82">
        <v>1997</v>
      </c>
      <c r="O67" s="83">
        <v>859351.6795904302</v>
      </c>
      <c r="P67" s="83">
        <v>160185.8570265067</v>
      </c>
    </row>
    <row r="68" spans="14:16" ht="12.75">
      <c r="N68" s="82">
        <v>1998</v>
      </c>
      <c r="O68" s="83">
        <v>786060.9996556386</v>
      </c>
      <c r="P68" s="83">
        <v>202083.9708896129</v>
      </c>
    </row>
    <row r="69" spans="14:16" ht="12.75">
      <c r="N69" s="82">
        <v>1999</v>
      </c>
      <c r="O69" s="83">
        <v>778389.1398539399</v>
      </c>
      <c r="P69" s="83">
        <v>213570.22841279037</v>
      </c>
    </row>
    <row r="70" spans="14:16" ht="12.75">
      <c r="N70" s="82">
        <v>2000</v>
      </c>
      <c r="O70" s="83">
        <v>866072.136728225</v>
      </c>
      <c r="P70" s="83">
        <v>246997.36354015436</v>
      </c>
    </row>
    <row r="71" spans="14:16" ht="12.75">
      <c r="N71" s="82">
        <v>2001</v>
      </c>
      <c r="O71" s="83">
        <v>862632.2836858832</v>
      </c>
      <c r="P71" s="83">
        <v>276726.23015266506</v>
      </c>
    </row>
    <row r="72" spans="14:16" ht="12.75">
      <c r="N72" s="82">
        <v>2002</v>
      </c>
      <c r="O72" s="83">
        <v>862228.1175744301</v>
      </c>
      <c r="P72" s="83">
        <v>294839.0426933033</v>
      </c>
    </row>
    <row r="73" spans="14:16" ht="12.75">
      <c r="N73" s="82">
        <v>2003</v>
      </c>
      <c r="O73" s="83">
        <v>901096.172415453</v>
      </c>
      <c r="P73" s="83">
        <v>316113.97125522856</v>
      </c>
    </row>
    <row r="74" spans="14:16" ht="12.75">
      <c r="N74" s="82">
        <v>2004</v>
      </c>
      <c r="O74" s="83">
        <v>986870.1176782872</v>
      </c>
      <c r="P74" s="83">
        <v>395429.8941318206</v>
      </c>
    </row>
    <row r="75" spans="14:16" ht="12.75">
      <c r="N75" s="82">
        <v>2005</v>
      </c>
      <c r="O75" s="83">
        <v>1147775.8928376874</v>
      </c>
      <c r="P75" s="83">
        <v>431433.3782586926</v>
      </c>
    </row>
    <row r="76" spans="14:16" ht="12.75">
      <c r="N76" s="82">
        <v>2006</v>
      </c>
      <c r="O76" s="83">
        <v>1222413.6377595204</v>
      </c>
      <c r="P76" s="83">
        <v>460755.2665463867</v>
      </c>
    </row>
    <row r="77" spans="14:16" ht="12.75">
      <c r="N77" s="82">
        <v>2007</v>
      </c>
      <c r="O77" s="83">
        <v>1305447.8754961956</v>
      </c>
      <c r="P77" s="83">
        <v>525183.7879380467</v>
      </c>
    </row>
    <row r="78" spans="14:16" ht="12.75">
      <c r="N78" s="82">
        <v>2008</v>
      </c>
      <c r="O78" s="83">
        <v>1501002.7378177985</v>
      </c>
      <c r="P78" s="83">
        <v>715097.2353655681</v>
      </c>
    </row>
    <row r="79" spans="14:16" ht="12.75">
      <c r="N79" s="82">
        <v>2009</v>
      </c>
      <c r="O79" s="83">
        <v>1675664.7528214</v>
      </c>
      <c r="P79" s="83">
        <v>560393.400996</v>
      </c>
    </row>
    <row r="80" spans="14:16" ht="12.75">
      <c r="N80" s="82">
        <v>2010</v>
      </c>
      <c r="O80" s="83">
        <v>1841104.1163105767</v>
      </c>
      <c r="P80" s="83">
        <v>607430.911892382</v>
      </c>
    </row>
    <row r="81" spans="14:16" ht="12.75">
      <c r="N81" s="82">
        <v>2011</v>
      </c>
      <c r="O81" s="83">
        <v>2130475.7425380684</v>
      </c>
      <c r="P81" s="83">
        <v>729915.8128207282</v>
      </c>
    </row>
    <row r="82" spans="14:16" ht="12.75">
      <c r="N82" s="82">
        <v>2012</v>
      </c>
      <c r="O82" s="83">
        <v>2474533.5608113473</v>
      </c>
      <c r="P82" s="83">
        <v>824591.9385156656</v>
      </c>
    </row>
    <row r="83" spans="14:16" ht="12.75">
      <c r="N83" s="82">
        <v>2013</v>
      </c>
      <c r="O83" s="83">
        <v>2617666.037743001</v>
      </c>
      <c r="P83" s="83">
        <v>918560.2917084871</v>
      </c>
    </row>
    <row r="84" spans="14:16" ht="12.75">
      <c r="N84" s="82">
        <v>2014</v>
      </c>
      <c r="O84" s="81">
        <v>2974057.6040995135</v>
      </c>
      <c r="P84" s="81">
        <v>1051131.6818032633</v>
      </c>
    </row>
  </sheetData>
  <sheetProtection/>
  <mergeCells count="4">
    <mergeCell ref="B7:B8"/>
    <mergeCell ref="C7:E7"/>
    <mergeCell ref="F7:H7"/>
    <mergeCell ref="I7:K7"/>
  </mergeCells>
  <printOptions horizontalCentered="1" verticalCentered="1"/>
  <pageMargins left="0.76" right="0.44" top="1" bottom="1" header="0" footer="0"/>
  <pageSetup fitToHeight="1" fitToWidth="1" horizontalDpi="600" verticalDpi="600" orientation="portrait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6:P62"/>
  <sheetViews>
    <sheetView view="pageBreakPreview" zoomScaleNormal="75" zoomScaleSheetLayoutView="100" zoomScalePageLayoutView="0" workbookViewId="0" topLeftCell="A10">
      <selection activeCell="M40" sqref="M40"/>
    </sheetView>
  </sheetViews>
  <sheetFormatPr defaultColWidth="11.421875" defaultRowHeight="12.75"/>
  <cols>
    <col min="1" max="1" width="5.7109375" style="0" customWidth="1"/>
    <col min="2" max="2" width="22.140625" style="0" customWidth="1"/>
    <col min="3" max="3" width="15.00390625" style="0" customWidth="1"/>
    <col min="4" max="4" width="13.28125" style="0" customWidth="1"/>
    <col min="5" max="5" width="12.7109375" style="0" customWidth="1"/>
    <col min="6" max="6" width="14.00390625" style="0" customWidth="1"/>
    <col min="7" max="7" width="11.00390625" style="0" customWidth="1"/>
    <col min="8" max="8" width="12.421875" style="0" customWidth="1"/>
    <col min="9" max="9" width="11.7109375" style="0" customWidth="1"/>
    <col min="10" max="10" width="11.00390625" style="0" customWidth="1"/>
    <col min="11" max="11" width="12.28125" style="0" customWidth="1"/>
    <col min="19" max="19" width="11.8515625" style="0" bestFit="1" customWidth="1"/>
    <col min="20" max="22" width="12.8515625" style="0" bestFit="1" customWidth="1"/>
  </cols>
  <sheetData>
    <row r="6" ht="18">
      <c r="A6" s="9" t="s">
        <v>253</v>
      </c>
    </row>
    <row r="8" spans="3:11" ht="15">
      <c r="C8" s="1"/>
      <c r="D8" s="1"/>
      <c r="E8" s="1"/>
      <c r="F8" s="1"/>
      <c r="G8" s="1"/>
      <c r="H8" s="2"/>
      <c r="I8" s="2"/>
      <c r="J8" s="2"/>
      <c r="K8" s="2"/>
    </row>
    <row r="10" spans="2:11" ht="12.75">
      <c r="B10" s="1239" t="s">
        <v>18</v>
      </c>
      <c r="C10" s="1241" t="s">
        <v>50</v>
      </c>
      <c r="D10" s="1242"/>
      <c r="E10" s="1242"/>
      <c r="F10" s="1241" t="s">
        <v>10</v>
      </c>
      <c r="G10" s="1242"/>
      <c r="H10" s="1242"/>
      <c r="I10" s="1243" t="s">
        <v>11</v>
      </c>
      <c r="J10" s="1242"/>
      <c r="K10" s="1244"/>
    </row>
    <row r="11" spans="2:11" ht="12.75">
      <c r="B11" s="1240"/>
      <c r="C11" s="1141" t="s">
        <v>0</v>
      </c>
      <c r="D11" s="1142" t="s">
        <v>16</v>
      </c>
      <c r="E11" s="1143" t="s">
        <v>17</v>
      </c>
      <c r="F11" s="1144" t="s">
        <v>12</v>
      </c>
      <c r="G11" s="1145" t="s">
        <v>16</v>
      </c>
      <c r="H11" s="1143" t="s">
        <v>17</v>
      </c>
      <c r="I11" s="1146" t="s">
        <v>0</v>
      </c>
      <c r="J11" s="1142" t="s">
        <v>16</v>
      </c>
      <c r="K11" s="1147" t="s">
        <v>17</v>
      </c>
    </row>
    <row r="12" spans="2:16" ht="12.75">
      <c r="B12" s="1148"/>
      <c r="C12" s="1149"/>
      <c r="D12" s="1150"/>
      <c r="E12" s="1151"/>
      <c r="F12" s="1152"/>
      <c r="G12" s="1153"/>
      <c r="H12" s="1151"/>
      <c r="I12" s="1154"/>
      <c r="J12" s="1150"/>
      <c r="K12" s="1155"/>
      <c r="O12" t="s">
        <v>8</v>
      </c>
      <c r="P12" t="s">
        <v>9</v>
      </c>
    </row>
    <row r="13" spans="2:11" ht="12.75">
      <c r="B13" s="156"/>
      <c r="C13" s="42"/>
      <c r="D13" s="27"/>
      <c r="E13" s="198"/>
      <c r="F13" s="199"/>
      <c r="G13" s="200"/>
      <c r="H13" s="198"/>
      <c r="I13" s="201"/>
      <c r="J13" s="27"/>
      <c r="K13" s="202"/>
    </row>
    <row r="14" spans="2:16" ht="12.75">
      <c r="B14" s="203">
        <v>1995</v>
      </c>
      <c r="C14" s="204">
        <v>8.393283624126928</v>
      </c>
      <c r="D14" s="205">
        <f>G14</f>
        <v>10.148610371781364</v>
      </c>
      <c r="E14" s="206">
        <v>5.091776878835866</v>
      </c>
      <c r="F14" s="207">
        <v>8.955560685264611</v>
      </c>
      <c r="G14" s="208">
        <v>10.148610371781364</v>
      </c>
      <c r="H14" s="206">
        <v>5.535737559334477</v>
      </c>
      <c r="I14" s="209">
        <f>K14</f>
        <v>4.2445573090579085</v>
      </c>
      <c r="J14" s="205"/>
      <c r="K14" s="210">
        <f>'[1]desagregados'!B71</f>
        <v>4.2445573090579085</v>
      </c>
      <c r="L14" s="7"/>
      <c r="M14" s="16"/>
      <c r="N14" s="17">
        <v>95</v>
      </c>
      <c r="O14" s="4">
        <v>10.148610371781364</v>
      </c>
      <c r="P14" s="4">
        <v>5.091776878835866</v>
      </c>
    </row>
    <row r="15" spans="2:16" ht="12.75">
      <c r="B15" s="211">
        <v>1996</v>
      </c>
      <c r="C15" s="212">
        <v>8.647606873247458</v>
      </c>
      <c r="D15" s="213">
        <f aca="true" t="shared" si="0" ref="D15:D32">G15</f>
        <v>10.37984664865154</v>
      </c>
      <c r="E15" s="214">
        <v>5.337476550474294</v>
      </c>
      <c r="F15" s="215">
        <v>9.377457321378525</v>
      </c>
      <c r="G15" s="216">
        <v>10.37984664865154</v>
      </c>
      <c r="H15" s="214">
        <v>5.959296987167691</v>
      </c>
      <c r="I15" s="217">
        <f aca="true" t="shared" si="1" ref="I15:I29">K15</f>
        <v>4.5448535324028105</v>
      </c>
      <c r="J15" s="213"/>
      <c r="K15" s="218">
        <f>'[1]desagregados'!B72</f>
        <v>4.5448535324028105</v>
      </c>
      <c r="L15" s="7"/>
      <c r="M15" s="16"/>
      <c r="N15" s="17">
        <v>96</v>
      </c>
      <c r="O15" s="4">
        <v>10.37984664865154</v>
      </c>
      <c r="P15" s="4">
        <v>5.337476550474294</v>
      </c>
    </row>
    <row r="16" spans="2:16" ht="12.75">
      <c r="B16" s="203">
        <v>1997</v>
      </c>
      <c r="C16" s="204">
        <v>8.188247454393998</v>
      </c>
      <c r="D16" s="205">
        <f t="shared" si="0"/>
        <v>10.146978053246057</v>
      </c>
      <c r="E16" s="206">
        <v>5.42012003110907</v>
      </c>
      <c r="F16" s="207">
        <v>9.163588512282493</v>
      </c>
      <c r="G16" s="208">
        <v>10.146978053246057</v>
      </c>
      <c r="H16" s="206">
        <v>5.726537264889491</v>
      </c>
      <c r="I16" s="209">
        <f t="shared" si="1"/>
        <v>5.212117520815096</v>
      </c>
      <c r="J16" s="205"/>
      <c r="K16" s="210">
        <f>'[1]desagregados'!B73</f>
        <v>5.212117520815096</v>
      </c>
      <c r="L16" s="7"/>
      <c r="M16" s="16"/>
      <c r="N16" s="17">
        <v>97</v>
      </c>
      <c r="O16" s="4">
        <v>10.146978053246059</v>
      </c>
      <c r="P16" s="4">
        <v>5.42012003110907</v>
      </c>
    </row>
    <row r="17" spans="2:16" ht="12.75">
      <c r="B17" s="211">
        <v>1998</v>
      </c>
      <c r="C17" s="212">
        <v>7.053856955139542</v>
      </c>
      <c r="D17" s="213">
        <f t="shared" si="0"/>
        <v>8.753240333635766</v>
      </c>
      <c r="E17" s="214">
        <v>4.94595784965148</v>
      </c>
      <c r="F17" s="215">
        <v>7.957160935688618</v>
      </c>
      <c r="G17" s="216">
        <v>8.753240333635766</v>
      </c>
      <c r="H17" s="214">
        <v>5.048646397780676</v>
      </c>
      <c r="I17" s="217">
        <f t="shared" si="1"/>
        <v>4.8931747664703975</v>
      </c>
      <c r="J17" s="213"/>
      <c r="K17" s="218">
        <f>'[1]desagregados'!B74</f>
        <v>4.8931747664703975</v>
      </c>
      <c r="L17" s="7"/>
      <c r="M17" s="16"/>
      <c r="N17" s="17">
        <v>98</v>
      </c>
      <c r="O17" s="4">
        <v>8.753240333635766</v>
      </c>
      <c r="P17" s="4">
        <v>4.94595784965148</v>
      </c>
    </row>
    <row r="18" spans="2:16" ht="12.75">
      <c r="B18" s="203">
        <v>1999</v>
      </c>
      <c r="C18" s="204">
        <v>6.797971094322021</v>
      </c>
      <c r="D18" s="205">
        <f t="shared" si="0"/>
        <v>8.306642636464446</v>
      </c>
      <c r="E18" s="206">
        <v>4.930191581893625</v>
      </c>
      <c r="F18" s="207">
        <v>7.632021028288909</v>
      </c>
      <c r="G18" s="208">
        <v>8.306642636464446</v>
      </c>
      <c r="H18" s="206">
        <v>5.071850676679181</v>
      </c>
      <c r="I18" s="209">
        <f t="shared" si="1"/>
        <v>4.861602607536183</v>
      </c>
      <c r="J18" s="205"/>
      <c r="K18" s="210">
        <f>'[1]desagregados'!B75</f>
        <v>4.861602607536183</v>
      </c>
      <c r="L18" s="7"/>
      <c r="M18" s="16"/>
      <c r="N18" s="17">
        <v>99</v>
      </c>
      <c r="O18" s="4">
        <v>8.306642636464446</v>
      </c>
      <c r="P18" s="4">
        <v>4.930191581893625</v>
      </c>
    </row>
    <row r="19" spans="2:16" ht="12.75">
      <c r="B19" s="211">
        <v>2000</v>
      </c>
      <c r="C19" s="212">
        <v>7.1600313284956645</v>
      </c>
      <c r="D19" s="213">
        <f t="shared" si="0"/>
        <v>8.806339535814676</v>
      </c>
      <c r="E19" s="214">
        <v>5.221314050501441</v>
      </c>
      <c r="F19" s="215">
        <v>8.0465527241033</v>
      </c>
      <c r="G19" s="216">
        <v>8.806339535814676</v>
      </c>
      <c r="H19" s="214">
        <v>5.3360143471179855</v>
      </c>
      <c r="I19" s="217">
        <f t="shared" si="1"/>
        <v>5.164795484263344</v>
      </c>
      <c r="J19" s="219"/>
      <c r="K19" s="218">
        <f>'[1]desagregados'!B76</f>
        <v>5.164795484263344</v>
      </c>
      <c r="L19" s="7"/>
      <c r="M19" s="16"/>
      <c r="N19" s="17" t="s">
        <v>227</v>
      </c>
      <c r="O19" s="4">
        <v>8.806339535814676</v>
      </c>
      <c r="P19" s="4">
        <v>5.221314050501441</v>
      </c>
    </row>
    <row r="20" spans="2:16" ht="12.75">
      <c r="B20" s="203">
        <v>2001</v>
      </c>
      <c r="C20" s="204">
        <v>6.851718186751588</v>
      </c>
      <c r="D20" s="205">
        <f t="shared" si="0"/>
        <v>8.794973611182401</v>
      </c>
      <c r="E20" s="206">
        <v>4.742553278942958</v>
      </c>
      <c r="F20" s="207">
        <v>8.198076063917068</v>
      </c>
      <c r="G20" s="208">
        <v>8.794973611182401</v>
      </c>
      <c r="H20" s="206">
        <v>5.431810353536078</v>
      </c>
      <c r="I20" s="209">
        <f t="shared" si="1"/>
        <v>4.531755939031402</v>
      </c>
      <c r="J20" s="220"/>
      <c r="K20" s="210">
        <f>'[1]desagregados'!B77</f>
        <v>4.531755939031402</v>
      </c>
      <c r="L20" s="7"/>
      <c r="M20" s="16"/>
      <c r="N20" s="17" t="s">
        <v>228</v>
      </c>
      <c r="O20" s="4">
        <v>8.79492608729062</v>
      </c>
      <c r="P20" s="4">
        <v>4.742553278942958</v>
      </c>
    </row>
    <row r="21" spans="2:16" ht="12.75">
      <c r="B21" s="211">
        <v>2002</v>
      </c>
      <c r="C21" s="212">
        <v>6.572256406554834</v>
      </c>
      <c r="D21" s="213">
        <f t="shared" si="0"/>
        <v>8.290526011852268</v>
      </c>
      <c r="E21" s="214">
        <v>4.68213770720213</v>
      </c>
      <c r="F21" s="215">
        <v>7.758352080828165</v>
      </c>
      <c r="G21" s="216">
        <v>8.290526011852268</v>
      </c>
      <c r="H21" s="214">
        <v>5.163988884999389</v>
      </c>
      <c r="I21" s="217">
        <f t="shared" si="1"/>
        <v>4.541729686255704</v>
      </c>
      <c r="J21" s="219"/>
      <c r="K21" s="218">
        <f>'[1]desagregados'!B78</f>
        <v>4.541729686255704</v>
      </c>
      <c r="L21" s="7"/>
      <c r="M21" s="16"/>
      <c r="N21" s="17" t="s">
        <v>229</v>
      </c>
      <c r="O21" s="4">
        <v>8.29052601185227</v>
      </c>
      <c r="P21" s="4">
        <v>4.68213770720213</v>
      </c>
    </row>
    <row r="22" spans="2:16" ht="12.75">
      <c r="B22" s="203">
        <v>2003</v>
      </c>
      <c r="C22" s="204">
        <v>6.624151976068238</v>
      </c>
      <c r="D22" s="205">
        <f t="shared" si="0"/>
        <v>8.439546821933085</v>
      </c>
      <c r="E22" s="206">
        <v>4.633474888499332</v>
      </c>
      <c r="F22" s="207">
        <v>7.971753161907678</v>
      </c>
      <c r="G22" s="208">
        <v>8.439546821933085</v>
      </c>
      <c r="H22" s="206">
        <v>5.315913767730283</v>
      </c>
      <c r="I22" s="209">
        <f t="shared" si="1"/>
        <v>4.470113199324197</v>
      </c>
      <c r="J22" s="220"/>
      <c r="K22" s="210">
        <f>'[1]desagregados'!B79</f>
        <v>4.470113199324197</v>
      </c>
      <c r="L22" s="7"/>
      <c r="M22" s="16"/>
      <c r="N22" s="17" t="s">
        <v>230</v>
      </c>
      <c r="O22" s="4">
        <v>8.439546821933085</v>
      </c>
      <c r="P22" s="4">
        <v>4.633474888499332</v>
      </c>
    </row>
    <row r="23" spans="2:16" ht="12.75">
      <c r="B23" s="211">
        <v>2004</v>
      </c>
      <c r="C23" s="212">
        <v>7.037954108895671</v>
      </c>
      <c r="D23" s="213">
        <f t="shared" si="0"/>
        <v>8.674201605419087</v>
      </c>
      <c r="E23" s="214">
        <v>5.214201316426084</v>
      </c>
      <c r="F23" s="215">
        <v>8.22302317700895</v>
      </c>
      <c r="G23" s="216">
        <v>8.674201605419087</v>
      </c>
      <c r="H23" s="214">
        <v>5.3901465775055355</v>
      </c>
      <c r="I23" s="217">
        <f t="shared" si="1"/>
        <v>5.176227190061146</v>
      </c>
      <c r="J23" s="219"/>
      <c r="K23" s="218">
        <f>'[1]desagregados'!B80</f>
        <v>5.176227190061146</v>
      </c>
      <c r="L23" s="7"/>
      <c r="M23" s="16"/>
      <c r="N23" s="17" t="s">
        <v>231</v>
      </c>
      <c r="O23" s="4">
        <v>8.67420160541909</v>
      </c>
      <c r="P23" s="4">
        <v>5.214201316426084</v>
      </c>
    </row>
    <row r="24" spans="2:16" ht="12.75">
      <c r="B24" s="203">
        <v>2005</v>
      </c>
      <c r="C24" s="204">
        <v>7.629517461367721</v>
      </c>
      <c r="D24" s="205">
        <f t="shared" si="0"/>
        <v>9.400777808861907</v>
      </c>
      <c r="E24" s="206">
        <v>5.561757922565469</v>
      </c>
      <c r="F24" s="207">
        <v>8.888491459581944</v>
      </c>
      <c r="G24" s="208">
        <v>9.400777808861907</v>
      </c>
      <c r="H24" s="206">
        <v>5.650701414642656</v>
      </c>
      <c r="I24" s="209">
        <f t="shared" si="1"/>
        <v>5.541607608090972</v>
      </c>
      <c r="J24" s="220"/>
      <c r="K24" s="210">
        <f>'[1]desagregados'!B81</f>
        <v>5.541607608090972</v>
      </c>
      <c r="L24" s="7"/>
      <c r="M24" s="16"/>
      <c r="N24" s="17" t="s">
        <v>232</v>
      </c>
      <c r="O24" s="4">
        <v>9.400777808861907</v>
      </c>
      <c r="P24" s="4">
        <v>5.561757922565469</v>
      </c>
    </row>
    <row r="25" spans="2:16" ht="12.75">
      <c r="B25" s="211">
        <v>2006</v>
      </c>
      <c r="C25" s="212">
        <v>7.5478896322436135</v>
      </c>
      <c r="D25" s="213">
        <f t="shared" si="0"/>
        <v>9.20541981902347</v>
      </c>
      <c r="E25" s="214">
        <v>5.55478195409213</v>
      </c>
      <c r="F25" s="215">
        <v>8.702584077848925</v>
      </c>
      <c r="G25" s="216">
        <v>9.20541981902347</v>
      </c>
      <c r="H25" s="214">
        <v>5.43744844190284</v>
      </c>
      <c r="I25" s="217">
        <f t="shared" si="1"/>
        <v>5.581447756240201</v>
      </c>
      <c r="J25" s="219"/>
      <c r="K25" s="218">
        <f>'[1]desagregados'!B82</f>
        <v>5.581447756240201</v>
      </c>
      <c r="L25" s="7"/>
      <c r="M25" s="16"/>
      <c r="N25" s="17" t="s">
        <v>233</v>
      </c>
      <c r="O25" s="4">
        <v>9.20541981902347</v>
      </c>
      <c r="P25" s="4">
        <v>5.55478195409213</v>
      </c>
    </row>
    <row r="26" spans="2:16" ht="12.75">
      <c r="B26" s="203">
        <v>2007</v>
      </c>
      <c r="C26" s="204">
        <v>7.40494411028258</v>
      </c>
      <c r="D26" s="205">
        <f t="shared" si="0"/>
        <v>9.093906057369018</v>
      </c>
      <c r="E26" s="206">
        <v>5.423398620275471</v>
      </c>
      <c r="F26" s="207">
        <v>8.684354506431966</v>
      </c>
      <c r="G26" s="208">
        <v>9.093906057369018</v>
      </c>
      <c r="H26" s="206">
        <v>5.4423840053332935</v>
      </c>
      <c r="I26" s="209">
        <f t="shared" si="1"/>
        <v>5.420095140533965</v>
      </c>
      <c r="J26" s="220"/>
      <c r="K26" s="210">
        <f>'[1]desagregados'!B83</f>
        <v>5.420095140533965</v>
      </c>
      <c r="L26" s="7"/>
      <c r="M26" s="16"/>
      <c r="N26" s="17" t="s">
        <v>234</v>
      </c>
      <c r="O26" s="4">
        <v>9.093906057369018</v>
      </c>
      <c r="P26" s="4">
        <v>5.423398620275471</v>
      </c>
    </row>
    <row r="27" spans="2:16" ht="12.75">
      <c r="B27" s="211">
        <v>2008</v>
      </c>
      <c r="C27" s="212">
        <v>8.21860962452384</v>
      </c>
      <c r="D27" s="213">
        <f t="shared" si="0"/>
        <v>9.563809357904866</v>
      </c>
      <c r="E27" s="214">
        <v>6.63741891099464</v>
      </c>
      <c r="F27" s="215">
        <v>9.210201127006314</v>
      </c>
      <c r="G27" s="216">
        <v>9.563809357904866</v>
      </c>
      <c r="H27" s="214">
        <v>6.228330130971453</v>
      </c>
      <c r="I27" s="217">
        <f t="shared" si="1"/>
        <v>6.703677483775019</v>
      </c>
      <c r="J27" s="219"/>
      <c r="K27" s="218">
        <f>'[1]desagregados'!B84</f>
        <v>6.703677483775019</v>
      </c>
      <c r="L27" s="7"/>
      <c r="M27" s="16"/>
      <c r="N27" s="17" t="s">
        <v>235</v>
      </c>
      <c r="O27" s="4">
        <v>9.563809357904866</v>
      </c>
      <c r="P27" s="4">
        <v>6.63741891099464</v>
      </c>
    </row>
    <row r="28" spans="2:16" ht="12.75">
      <c r="B28" s="203">
        <v>2009</v>
      </c>
      <c r="C28" s="204">
        <v>8.255095348074532</v>
      </c>
      <c r="D28" s="205">
        <f t="shared" si="0"/>
        <v>10.220209425572106</v>
      </c>
      <c r="E28" s="206">
        <v>5.715580277610793</v>
      </c>
      <c r="F28" s="207">
        <v>9.834767034288422</v>
      </c>
      <c r="G28" s="208">
        <f>'[1]desagregados'!H52</f>
        <v>10.220209425572106</v>
      </c>
      <c r="H28" s="206">
        <f>'[1]desagregados'!C52</f>
        <v>6.573199512560988</v>
      </c>
      <c r="I28" s="209">
        <f t="shared" si="1"/>
        <v>5.653760327009893</v>
      </c>
      <c r="J28" s="220"/>
      <c r="K28" s="210">
        <f>'[1]desagregados'!B85</f>
        <v>5.653760327009893</v>
      </c>
      <c r="L28" s="7"/>
      <c r="M28" s="16"/>
      <c r="N28" s="17" t="s">
        <v>236</v>
      </c>
      <c r="O28" s="4">
        <v>10.239697017523108</v>
      </c>
      <c r="P28" s="4">
        <v>5.715580277610793</v>
      </c>
    </row>
    <row r="29" spans="2:16" ht="12.75">
      <c r="B29" s="211">
        <v>2010</v>
      </c>
      <c r="C29" s="212">
        <v>8.318115440910699</v>
      </c>
      <c r="D29" s="213">
        <f t="shared" si="0"/>
        <v>10.459527312900395</v>
      </c>
      <c r="E29" s="214">
        <v>5.612668273748845</v>
      </c>
      <c r="F29" s="215">
        <v>10.118555763056673</v>
      </c>
      <c r="G29" s="216">
        <f>'[1]desagregados'!H53</f>
        <v>10.459527312900395</v>
      </c>
      <c r="H29" s="214">
        <f>'[1]desagregados'!C53</f>
        <v>6.943416370742706</v>
      </c>
      <c r="I29" s="217">
        <f t="shared" si="1"/>
        <v>5.403780946168652</v>
      </c>
      <c r="J29" s="219"/>
      <c r="K29" s="218">
        <f>'[1]desagregados'!B86</f>
        <v>5.403780946168652</v>
      </c>
      <c r="L29" s="7"/>
      <c r="M29" s="16"/>
      <c r="N29" s="17" t="s">
        <v>237</v>
      </c>
      <c r="O29" s="4">
        <v>10.459527312900397</v>
      </c>
      <c r="P29" s="4">
        <v>5.612668273748845</v>
      </c>
    </row>
    <row r="30" spans="2:16" ht="12.75">
      <c r="B30" s="203">
        <v>2011</v>
      </c>
      <c r="C30" s="204">
        <v>8.989189254591013</v>
      </c>
      <c r="D30" s="205">
        <v>11.091278800848533</v>
      </c>
      <c r="E30" s="206">
        <v>6.289052173637484</v>
      </c>
      <c r="F30" s="207">
        <v>10.785887035062256</v>
      </c>
      <c r="G30" s="208">
        <v>11.091278800848533</v>
      </c>
      <c r="H30" s="206">
        <v>7.847143085859787</v>
      </c>
      <c r="I30" s="209">
        <v>6.048703531832315</v>
      </c>
      <c r="J30" s="220"/>
      <c r="K30" s="210">
        <v>6.048703533336055</v>
      </c>
      <c r="L30" s="7"/>
      <c r="M30" s="16"/>
      <c r="N30" s="17" t="s">
        <v>238</v>
      </c>
      <c r="O30" s="4">
        <f aca="true" t="shared" si="2" ref="O30:P32">D30</f>
        <v>11.091278800848533</v>
      </c>
      <c r="P30" s="4">
        <f t="shared" si="2"/>
        <v>6.289052173637484</v>
      </c>
    </row>
    <row r="31" spans="2:16" ht="12.75">
      <c r="B31" s="211">
        <v>2012</v>
      </c>
      <c r="C31" s="212">
        <v>9.80476482654997</v>
      </c>
      <c r="D31" s="213">
        <f t="shared" si="0"/>
        <v>12.201537385477197</v>
      </c>
      <c r="E31" s="214">
        <v>6.71011965093431</v>
      </c>
      <c r="F31" s="215">
        <v>11.813141103914758</v>
      </c>
      <c r="G31" s="216">
        <v>12.201537385477197</v>
      </c>
      <c r="H31" s="214">
        <v>8.103130579366997</v>
      </c>
      <c r="I31" s="217">
        <v>6.492394647523122</v>
      </c>
      <c r="J31" s="219"/>
      <c r="K31" s="218">
        <v>6.492394647523122</v>
      </c>
      <c r="L31" s="7"/>
      <c r="M31" s="16"/>
      <c r="N31" s="17" t="s">
        <v>239</v>
      </c>
      <c r="O31" s="4">
        <f t="shared" si="2"/>
        <v>12.201537385477197</v>
      </c>
      <c r="P31" s="4">
        <f t="shared" si="2"/>
        <v>6.71011965093431</v>
      </c>
    </row>
    <row r="32" spans="2:16" ht="12.75">
      <c r="B32" s="203">
        <v>2013</v>
      </c>
      <c r="C32" s="204">
        <v>9.930296909762083</v>
      </c>
      <c r="D32" s="205">
        <f t="shared" si="0"/>
        <v>12.233886288512146</v>
      </c>
      <c r="E32" s="206">
        <v>7.018250600117379</v>
      </c>
      <c r="F32" s="207">
        <v>11.933029674417638</v>
      </c>
      <c r="G32" s="208">
        <v>12.233886288512146</v>
      </c>
      <c r="H32" s="206">
        <v>9.020649841961948</v>
      </c>
      <c r="I32" s="209">
        <v>6.717483711105128</v>
      </c>
      <c r="J32" s="220"/>
      <c r="K32" s="210">
        <v>6.717483711105128</v>
      </c>
      <c r="L32" s="7"/>
      <c r="M32" s="16"/>
      <c r="N32" s="17" t="s">
        <v>240</v>
      </c>
      <c r="O32" s="4">
        <f t="shared" si="2"/>
        <v>12.233886288512146</v>
      </c>
      <c r="P32" s="4">
        <f t="shared" si="2"/>
        <v>7.018250600117379</v>
      </c>
    </row>
    <row r="33" spans="2:16" ht="12.75">
      <c r="B33" s="1112">
        <v>2014</v>
      </c>
      <c r="C33" s="1113">
        <v>10.783932753718188</v>
      </c>
      <c r="D33" s="1114">
        <f>G33</f>
        <v>13.430770769915842</v>
      </c>
      <c r="E33" s="1115">
        <v>7.466238727573677</v>
      </c>
      <c r="F33" s="1116">
        <v>13.055566807851047</v>
      </c>
      <c r="G33" s="1117">
        <v>13.430770769915842</v>
      </c>
      <c r="H33" s="1115">
        <v>9.19531871254247</v>
      </c>
      <c r="I33" s="1118">
        <v>7.226356201980252</v>
      </c>
      <c r="J33" s="1119"/>
      <c r="K33" s="1120">
        <v>7.226356201980252</v>
      </c>
      <c r="L33" s="7"/>
      <c r="N33">
        <v>14</v>
      </c>
      <c r="O33" s="4">
        <f>D33</f>
        <v>13.430770769915842</v>
      </c>
      <c r="P33" s="4">
        <f>E33</f>
        <v>7.466238727573677</v>
      </c>
    </row>
    <row r="34" spans="2:11" ht="13.5" thickBot="1">
      <c r="B34" s="221"/>
      <c r="C34" s="222"/>
      <c r="D34" s="223"/>
      <c r="E34" s="224"/>
      <c r="F34" s="225"/>
      <c r="G34" s="226"/>
      <c r="H34" s="224"/>
      <c r="I34" s="227"/>
      <c r="J34" s="219"/>
      <c r="K34" s="228"/>
    </row>
    <row r="35" spans="2:11" ht="12.75">
      <c r="B35" s="229" t="s">
        <v>273</v>
      </c>
      <c r="C35" s="230">
        <f>(C33/C32)-1</f>
        <v>0.08596277147734921</v>
      </c>
      <c r="D35" s="230">
        <f aca="true" t="shared" si="3" ref="D35:I35">(D33/D32)-1</f>
        <v>0.09783354636274444</v>
      </c>
      <c r="E35" s="230">
        <f t="shared" si="3"/>
        <v>0.06383187962094206</v>
      </c>
      <c r="F35" s="230">
        <f t="shared" si="3"/>
        <v>0.09406975127531414</v>
      </c>
      <c r="G35" s="230">
        <f t="shared" si="3"/>
        <v>0.09783354636274444</v>
      </c>
      <c r="H35" s="230">
        <f t="shared" si="3"/>
        <v>0.019363224783208288</v>
      </c>
      <c r="I35" s="230">
        <f t="shared" si="3"/>
        <v>0.07575343875175644</v>
      </c>
      <c r="J35" s="231"/>
      <c r="K35" s="230">
        <f>(K33/K32)-1</f>
        <v>0.07575343875175644</v>
      </c>
    </row>
    <row r="36" spans="2:11" ht="12.75">
      <c r="B36" s="232" t="s">
        <v>274</v>
      </c>
      <c r="C36" s="233">
        <f>((C33/C28)^(1/5))-1</f>
        <v>0.05489932744431303</v>
      </c>
      <c r="D36" s="233">
        <f aca="true" t="shared" si="4" ref="D36:I36">((D33/D28)^(1/5))-1</f>
        <v>0.05615638359739794</v>
      </c>
      <c r="E36" s="233">
        <f t="shared" si="4"/>
        <v>0.0548927526021048</v>
      </c>
      <c r="F36" s="233">
        <f t="shared" si="4"/>
        <v>0.05829399276566227</v>
      </c>
      <c r="G36" s="233">
        <f t="shared" si="4"/>
        <v>0.05615638359739794</v>
      </c>
      <c r="H36" s="233">
        <f t="shared" si="4"/>
        <v>0.06944386750143772</v>
      </c>
      <c r="I36" s="233">
        <f t="shared" si="4"/>
        <v>0.050307324687850485</v>
      </c>
      <c r="J36" s="234"/>
      <c r="K36" s="233">
        <f>((K33/K28)^(1/5))-1</f>
        <v>0.050307324687850485</v>
      </c>
    </row>
    <row r="37" spans="2:11" ht="12.75">
      <c r="B37" s="235" t="s">
        <v>275</v>
      </c>
      <c r="C37" s="236">
        <f>(C33/C23)-1</f>
        <v>0.5322539173831442</v>
      </c>
      <c r="D37" s="236">
        <f aca="true" t="shared" si="5" ref="D37:I37">(D33/D23)-1</f>
        <v>0.5483581522390664</v>
      </c>
      <c r="E37" s="236">
        <f t="shared" si="5"/>
        <v>0.431904576459887</v>
      </c>
      <c r="F37" s="236">
        <f t="shared" si="5"/>
        <v>0.5876845445788823</v>
      </c>
      <c r="G37" s="236">
        <f t="shared" si="5"/>
        <v>0.5483581522390664</v>
      </c>
      <c r="H37" s="236">
        <f t="shared" si="5"/>
        <v>0.7059496583853384</v>
      </c>
      <c r="I37" s="236">
        <f t="shared" si="5"/>
        <v>0.3960662731063178</v>
      </c>
      <c r="J37" s="237"/>
      <c r="K37" s="236">
        <f>(K33/K23)-1</f>
        <v>0.3960662731063178</v>
      </c>
    </row>
    <row r="38" spans="2:11" ht="13.5" thickBot="1">
      <c r="B38" s="238" t="s">
        <v>276</v>
      </c>
      <c r="C38" s="239">
        <f>((C33/C23)^(1/10))-1</f>
        <v>0.04359760569187521</v>
      </c>
      <c r="D38" s="239">
        <f aca="true" t="shared" si="6" ref="D38:I38">((D33/D23)^(1/10))-1</f>
        <v>0.044689290238585366</v>
      </c>
      <c r="E38" s="239">
        <f t="shared" si="6"/>
        <v>0.036552748913300404</v>
      </c>
      <c r="F38" s="239">
        <f t="shared" si="6"/>
        <v>0.0473128248548067</v>
      </c>
      <c r="G38" s="239">
        <f t="shared" si="6"/>
        <v>0.044689290238585366</v>
      </c>
      <c r="H38" s="239">
        <f t="shared" si="6"/>
        <v>0.05486436428777397</v>
      </c>
      <c r="I38" s="239">
        <f t="shared" si="6"/>
        <v>0.03392873048269629</v>
      </c>
      <c r="J38" s="237"/>
      <c r="K38" s="239">
        <f>((K33/K23)^(1/10))-1</f>
        <v>0.03392873048269629</v>
      </c>
    </row>
    <row r="39" spans="2:3" ht="12.75">
      <c r="B39" s="240"/>
      <c r="C39" s="241"/>
    </row>
    <row r="40" spans="2:16" ht="12.75">
      <c r="B40" s="57"/>
      <c r="O40" t="s">
        <v>10</v>
      </c>
      <c r="P40" t="s">
        <v>11</v>
      </c>
    </row>
    <row r="41" spans="15:16" ht="12.75">
      <c r="O41" s="4"/>
      <c r="P41" s="4"/>
    </row>
    <row r="42" spans="2:16" ht="12.75">
      <c r="B42" s="5"/>
      <c r="C42" s="5"/>
      <c r="D42" s="5"/>
      <c r="E42" s="5"/>
      <c r="F42" s="5"/>
      <c r="G42" s="5"/>
      <c r="H42" s="5"/>
      <c r="I42" s="5"/>
      <c r="J42" s="5"/>
      <c r="K42" s="5"/>
      <c r="O42" s="4"/>
      <c r="P42" s="4"/>
    </row>
    <row r="43" spans="14:16" ht="12.75">
      <c r="N43">
        <v>95</v>
      </c>
      <c r="O43" s="4">
        <v>8.955560685264611</v>
      </c>
      <c r="P43" s="4">
        <v>4.2445573090579085</v>
      </c>
    </row>
    <row r="44" spans="14:16" ht="12.75">
      <c r="N44">
        <v>96</v>
      </c>
      <c r="O44" s="4">
        <v>9.377457321378525</v>
      </c>
      <c r="P44" s="4">
        <v>4.5448535324028105</v>
      </c>
    </row>
    <row r="45" spans="14:16" ht="12.75">
      <c r="N45">
        <v>97</v>
      </c>
      <c r="O45" s="4">
        <v>9.163588512282494</v>
      </c>
      <c r="P45" s="4">
        <v>5.212117520815097</v>
      </c>
    </row>
    <row r="46" spans="14:16" ht="12.75">
      <c r="N46">
        <v>98</v>
      </c>
      <c r="O46" s="4">
        <v>7.957160935688618</v>
      </c>
      <c r="P46" s="4">
        <v>4.893174766470397</v>
      </c>
    </row>
    <row r="47" spans="14:16" ht="12.75">
      <c r="N47">
        <v>99</v>
      </c>
      <c r="O47" s="4">
        <v>7.632021028288909</v>
      </c>
      <c r="P47" s="4">
        <v>4.86160260753618</v>
      </c>
    </row>
    <row r="48" spans="14:16" ht="12.75">
      <c r="N48" s="562" t="s">
        <v>227</v>
      </c>
      <c r="O48" s="4">
        <v>8.046552724103298</v>
      </c>
      <c r="P48" s="4">
        <v>5.164795484263346</v>
      </c>
    </row>
    <row r="49" spans="14:16" ht="12.75">
      <c r="N49" s="562" t="s">
        <v>228</v>
      </c>
      <c r="O49" s="4">
        <v>8.198076063917068</v>
      </c>
      <c r="P49" s="4">
        <v>4.531755939031402</v>
      </c>
    </row>
    <row r="50" spans="14:16" ht="12.75">
      <c r="N50" s="562" t="s">
        <v>229</v>
      </c>
      <c r="O50" s="4">
        <v>7.758352080828168</v>
      </c>
      <c r="P50" s="4">
        <v>4.541729686255704</v>
      </c>
    </row>
    <row r="51" spans="14:16" ht="12.75">
      <c r="N51" s="562" t="s">
        <v>230</v>
      </c>
      <c r="O51" s="4">
        <v>7.97175316190768</v>
      </c>
      <c r="P51" s="4">
        <v>4.470113199324197</v>
      </c>
    </row>
    <row r="52" spans="14:16" ht="12.75">
      <c r="N52" s="562" t="s">
        <v>231</v>
      </c>
      <c r="O52" s="4">
        <v>8.223023177008951</v>
      </c>
      <c r="P52" s="4">
        <v>5.176227190061146</v>
      </c>
    </row>
    <row r="53" spans="14:16" ht="12.75">
      <c r="N53" s="562" t="s">
        <v>232</v>
      </c>
      <c r="O53" s="4">
        <v>8.888491459581944</v>
      </c>
      <c r="P53" s="4">
        <v>5.541607608090972</v>
      </c>
    </row>
    <row r="54" spans="14:16" ht="12.75">
      <c r="N54" s="562" t="s">
        <v>233</v>
      </c>
      <c r="O54" s="4">
        <v>8.702584077848925</v>
      </c>
      <c r="P54" s="4">
        <v>5.581447756240201</v>
      </c>
    </row>
    <row r="55" spans="14:16" ht="12.75">
      <c r="N55" s="562" t="s">
        <v>234</v>
      </c>
      <c r="O55" s="4">
        <v>8.684354506431966</v>
      </c>
      <c r="P55" s="4">
        <v>5.420095140533965</v>
      </c>
    </row>
    <row r="56" spans="14:16" ht="12.75">
      <c r="N56" s="562" t="s">
        <v>235</v>
      </c>
      <c r="O56" s="4">
        <v>9.210201127006314</v>
      </c>
      <c r="P56" s="4">
        <v>6.719070229036941</v>
      </c>
    </row>
    <row r="57" spans="14:16" ht="12.75">
      <c r="N57" s="562" t="s">
        <v>236</v>
      </c>
      <c r="O57" s="4">
        <v>9.856466421204773</v>
      </c>
      <c r="P57" s="4">
        <v>5.555962919381731</v>
      </c>
    </row>
    <row r="58" spans="14:16" ht="12.75">
      <c r="N58" s="562" t="s">
        <v>237</v>
      </c>
      <c r="O58" s="4">
        <v>10.118555763056674</v>
      </c>
      <c r="P58" s="4">
        <v>5.40378094616865</v>
      </c>
    </row>
    <row r="59" spans="14:16" ht="12.75">
      <c r="N59" s="562" t="s">
        <v>238</v>
      </c>
      <c r="O59" s="242">
        <f>F30</f>
        <v>10.785887035062256</v>
      </c>
      <c r="P59" s="242">
        <f>I30</f>
        <v>6.048703531832315</v>
      </c>
    </row>
    <row r="60" spans="14:16" ht="12.75">
      <c r="N60" s="562" t="s">
        <v>239</v>
      </c>
      <c r="O60" s="242">
        <f>F31</f>
        <v>11.813141103914758</v>
      </c>
      <c r="P60" s="242">
        <f>I31</f>
        <v>6.492394647523122</v>
      </c>
    </row>
    <row r="61" spans="14:16" ht="12.75">
      <c r="N61" s="562" t="s">
        <v>240</v>
      </c>
      <c r="O61" s="242">
        <f>F32</f>
        <v>11.933029674417638</v>
      </c>
      <c r="P61" s="242">
        <f>I32</f>
        <v>6.717483711105128</v>
      </c>
    </row>
    <row r="62" spans="14:16" ht="12.75">
      <c r="N62" s="562" t="s">
        <v>316</v>
      </c>
      <c r="O62" s="242">
        <f>F33</f>
        <v>13.055566807851047</v>
      </c>
      <c r="P62" s="242">
        <f>I33</f>
        <v>7.226356201980252</v>
      </c>
    </row>
  </sheetData>
  <sheetProtection/>
  <mergeCells count="4">
    <mergeCell ref="B10:B11"/>
    <mergeCell ref="C10:E10"/>
    <mergeCell ref="F10:H10"/>
    <mergeCell ref="I10:K10"/>
  </mergeCells>
  <printOptions horizontalCentered="1" verticalCentered="1"/>
  <pageMargins left="0.66" right="0.64" top="1" bottom="1" header="0" footer="0"/>
  <pageSetup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65"/>
  <sheetViews>
    <sheetView view="pageBreakPreview" zoomScale="110" zoomScaleSheetLayoutView="110" zoomScalePageLayoutView="0" workbookViewId="0" topLeftCell="A1">
      <selection activeCell="P44" sqref="P44"/>
    </sheetView>
  </sheetViews>
  <sheetFormatPr defaultColWidth="11.421875" defaultRowHeight="12.75"/>
  <cols>
    <col min="1" max="1" width="8.421875" style="0" customWidth="1"/>
    <col min="2" max="2" width="18.57421875" style="0" customWidth="1"/>
    <col min="3" max="3" width="11.00390625" style="0" customWidth="1"/>
    <col min="4" max="4" width="6.28125" style="0" customWidth="1"/>
    <col min="5" max="5" width="9.7109375" style="0" customWidth="1"/>
    <col min="6" max="6" width="6.8515625" style="0" customWidth="1"/>
    <col min="7" max="7" width="9.7109375" style="0" customWidth="1"/>
    <col min="8" max="8" width="7.00390625" style="0" customWidth="1"/>
    <col min="9" max="9" width="9.7109375" style="0" customWidth="1"/>
    <col min="10" max="10" width="5.7109375" style="0" customWidth="1"/>
    <col min="11" max="13" width="9.7109375" style="0" customWidth="1"/>
    <col min="14" max="14" width="10.7109375" style="0" customWidth="1"/>
    <col min="15" max="15" width="18.57421875" style="0" bestFit="1" customWidth="1"/>
    <col min="16" max="24" width="10.7109375" style="0" customWidth="1"/>
    <col min="28" max="28" width="12.57421875" style="0" bestFit="1" customWidth="1"/>
  </cols>
  <sheetData>
    <row r="1" spans="2:4" ht="15.75">
      <c r="B1" s="13"/>
      <c r="C1" s="13"/>
      <c r="D1" s="14"/>
    </row>
    <row r="2" spans="1:13" ht="18">
      <c r="A2" s="10" t="s">
        <v>254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5" ht="12.75">
      <c r="B4" s="6"/>
      <c r="C4" s="6"/>
      <c r="D4" s="6"/>
      <c r="E4" s="6"/>
    </row>
    <row r="5" ht="13.5" thickBot="1"/>
    <row r="6" spans="2:14" ht="12.75">
      <c r="B6" s="1247" t="s">
        <v>18</v>
      </c>
      <c r="C6" s="1249" t="s">
        <v>40</v>
      </c>
      <c r="D6" s="1250"/>
      <c r="E6" s="1249" t="s">
        <v>41</v>
      </c>
      <c r="F6" s="1253"/>
      <c r="G6" s="1250" t="s">
        <v>42</v>
      </c>
      <c r="H6" s="1253"/>
      <c r="I6" s="1245" t="s">
        <v>43</v>
      </c>
      <c r="J6" s="1245"/>
      <c r="K6" s="1247" t="s">
        <v>0</v>
      </c>
      <c r="M6" s="19"/>
      <c r="N6" s="17"/>
    </row>
    <row r="7" spans="2:14" ht="13.5" thickBot="1">
      <c r="B7" s="1248"/>
      <c r="C7" s="1251"/>
      <c r="D7" s="1252"/>
      <c r="E7" s="1251"/>
      <c r="F7" s="1254"/>
      <c r="G7" s="1252"/>
      <c r="H7" s="1254"/>
      <c r="I7" s="1246"/>
      <c r="J7" s="1246"/>
      <c r="K7" s="1248"/>
      <c r="M7" s="19"/>
      <c r="N7" s="17"/>
    </row>
    <row r="8" spans="1:31" ht="12.75">
      <c r="A8" s="6"/>
      <c r="B8" s="45">
        <v>1992</v>
      </c>
      <c r="C8" s="46">
        <v>3109.254</v>
      </c>
      <c r="D8" s="565">
        <f>+C8/$K8</f>
        <v>0.4281998853911759</v>
      </c>
      <c r="E8" s="564">
        <f>361.967+658.68</f>
        <v>1020.6469999999999</v>
      </c>
      <c r="F8" s="565">
        <f>+E8/$K8</f>
        <v>0.14056134636309786</v>
      </c>
      <c r="G8" s="564">
        <v>2748.592</v>
      </c>
      <c r="H8" s="565">
        <f aca="true" t="shared" si="0" ref="H8:H26">+G8/$K8</f>
        <v>0.3785302774836353</v>
      </c>
      <c r="I8" s="564">
        <v>382.728</v>
      </c>
      <c r="J8" s="47">
        <f aca="true" t="shared" si="1" ref="J8:J26">+I8/$K8</f>
        <v>0.05270849076209084</v>
      </c>
      <c r="K8" s="48">
        <f aca="true" t="shared" si="2" ref="K8:K21">C8+E8+G8+I8</f>
        <v>7261.2210000000005</v>
      </c>
      <c r="L8" s="6"/>
      <c r="N8" s="17"/>
      <c r="O8" s="1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6"/>
      <c r="AD8" s="16"/>
      <c r="AE8" s="16"/>
    </row>
    <row r="9" spans="1:31" ht="12.75">
      <c r="A9" s="6"/>
      <c r="B9" s="45">
        <v>1993</v>
      </c>
      <c r="C9" s="49">
        <v>3174.6043</v>
      </c>
      <c r="D9" s="566">
        <f aca="true" t="shared" si="3" ref="D9:F26">+C9/$K9</f>
        <v>0.3819591194518462</v>
      </c>
      <c r="E9" s="534">
        <f>791.5456+810.2429</f>
        <v>1601.7885</v>
      </c>
      <c r="F9" s="566">
        <f t="shared" si="3"/>
        <v>0.1927225150574179</v>
      </c>
      <c r="G9" s="534">
        <v>3063.5259</v>
      </c>
      <c r="H9" s="566">
        <f t="shared" si="0"/>
        <v>0.3685944907155593</v>
      </c>
      <c r="I9" s="534">
        <v>471.45322</v>
      </c>
      <c r="J9" s="50">
        <f t="shared" si="1"/>
        <v>0.05672387477517671</v>
      </c>
      <c r="K9" s="51">
        <f t="shared" si="2"/>
        <v>8311.37192</v>
      </c>
      <c r="L9" s="6"/>
      <c r="N9" s="1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14" ht="12.75">
      <c r="A10" s="6"/>
      <c r="B10" s="45">
        <v>1994</v>
      </c>
      <c r="C10" s="49">
        <f>9334.776*0.413</f>
        <v>3855.262488</v>
      </c>
      <c r="D10" s="566">
        <f t="shared" si="3"/>
        <v>0.413</v>
      </c>
      <c r="E10" s="534">
        <f>9334.776*0.107+849.464616</f>
        <v>1848.285648</v>
      </c>
      <c r="F10" s="566">
        <f t="shared" si="3"/>
        <v>0.198</v>
      </c>
      <c r="G10" s="534">
        <f>9334.776*0.336</f>
        <v>3136.4847360000003</v>
      </c>
      <c r="H10" s="566">
        <f t="shared" si="0"/>
        <v>0.336</v>
      </c>
      <c r="I10" s="534">
        <f>9334.776*0.053</f>
        <v>494.74312799999996</v>
      </c>
      <c r="J10" s="50">
        <f t="shared" si="1"/>
        <v>0.053</v>
      </c>
      <c r="K10" s="51">
        <f t="shared" si="2"/>
        <v>9334.776</v>
      </c>
      <c r="L10" s="6"/>
      <c r="N10" s="17"/>
    </row>
    <row r="11" spans="1:14" ht="12.75">
      <c r="A11" s="6"/>
      <c r="B11" s="45">
        <v>1995</v>
      </c>
      <c r="C11" s="49">
        <v>3963.76629</v>
      </c>
      <c r="D11" s="566">
        <f t="shared" si="3"/>
        <v>0.40244321387216575</v>
      </c>
      <c r="E11" s="534">
        <f>1375.844691+872.823814</f>
        <v>2248.668505</v>
      </c>
      <c r="F11" s="566">
        <f t="shared" si="3"/>
        <v>0.22830846065985344</v>
      </c>
      <c r="G11" s="534">
        <v>3154.1445019999996</v>
      </c>
      <c r="H11" s="566">
        <f t="shared" si="0"/>
        <v>0.32024190063993446</v>
      </c>
      <c r="I11" s="534">
        <v>482.67683</v>
      </c>
      <c r="J11" s="50">
        <f t="shared" si="1"/>
        <v>0.049006424828046305</v>
      </c>
      <c r="K11" s="51">
        <f t="shared" si="2"/>
        <v>9849.256127</v>
      </c>
      <c r="L11" s="6"/>
      <c r="N11" s="17"/>
    </row>
    <row r="12" spans="1:14" ht="12.75">
      <c r="A12" s="6"/>
      <c r="B12" s="45">
        <v>1996</v>
      </c>
      <c r="C12" s="49">
        <v>4305.296401</v>
      </c>
      <c r="D12" s="566">
        <f t="shared" si="3"/>
        <v>0.416744078099814</v>
      </c>
      <c r="E12" s="534">
        <f>1475.713399+875.27503</f>
        <v>2350.988429</v>
      </c>
      <c r="F12" s="566">
        <f t="shared" si="3"/>
        <v>0.2275709763535361</v>
      </c>
      <c r="G12" s="534">
        <v>3185.061631</v>
      </c>
      <c r="H12" s="566">
        <f t="shared" si="0"/>
        <v>0.30830759359422444</v>
      </c>
      <c r="I12" s="534">
        <v>489.44557</v>
      </c>
      <c r="J12" s="50">
        <f t="shared" si="1"/>
        <v>0.04737735195242554</v>
      </c>
      <c r="K12" s="51">
        <f t="shared" si="2"/>
        <v>10330.792030999999</v>
      </c>
      <c r="L12" s="6"/>
      <c r="N12" s="17"/>
    </row>
    <row r="13" spans="1:14" ht="12.75">
      <c r="A13" s="6"/>
      <c r="B13" s="45">
        <v>1997</v>
      </c>
      <c r="C13" s="49">
        <v>6058.131118</v>
      </c>
      <c r="D13" s="566">
        <f t="shared" si="3"/>
        <v>0.4865487892792349</v>
      </c>
      <c r="E13" s="534">
        <v>2480.103368</v>
      </c>
      <c r="F13" s="566">
        <f t="shared" si="3"/>
        <v>0.19918540346583377</v>
      </c>
      <c r="G13" s="534">
        <f>3385523/1000</f>
        <v>3385.523</v>
      </c>
      <c r="H13" s="566">
        <f t="shared" si="0"/>
        <v>0.2719026849440011</v>
      </c>
      <c r="I13" s="534">
        <f>527473/1000</f>
        <v>527.473</v>
      </c>
      <c r="J13" s="50">
        <f t="shared" si="1"/>
        <v>0.04236312231093012</v>
      </c>
      <c r="K13" s="51">
        <f t="shared" si="2"/>
        <v>12451.230486000002</v>
      </c>
      <c r="L13" s="6"/>
      <c r="N13" s="17"/>
    </row>
    <row r="14" spans="1:14" ht="12.75">
      <c r="A14" s="6"/>
      <c r="B14" s="45">
        <v>1998</v>
      </c>
      <c r="C14" s="49">
        <v>7473.848437</v>
      </c>
      <c r="D14" s="566">
        <f t="shared" si="3"/>
        <v>0.5335168445158409</v>
      </c>
      <c r="E14" s="534">
        <v>2360.432139</v>
      </c>
      <c r="F14" s="566">
        <f t="shared" si="3"/>
        <v>0.1684982398436958</v>
      </c>
      <c r="G14" s="534">
        <v>3639.3</v>
      </c>
      <c r="H14" s="566">
        <f t="shared" si="0"/>
        <v>0.2597895673980069</v>
      </c>
      <c r="I14" s="534">
        <v>535.0651</v>
      </c>
      <c r="J14" s="50">
        <f t="shared" si="1"/>
        <v>0.03819534824245633</v>
      </c>
      <c r="K14" s="51">
        <f t="shared" si="2"/>
        <v>14008.645676</v>
      </c>
      <c r="L14" s="6"/>
      <c r="N14" s="17"/>
    </row>
    <row r="15" spans="1:14" ht="12.75">
      <c r="A15" s="6"/>
      <c r="B15" s="45">
        <v>1999</v>
      </c>
      <c r="C15" s="49">
        <v>7855.6</v>
      </c>
      <c r="D15" s="566">
        <f t="shared" si="3"/>
        <v>0.538353470075864</v>
      </c>
      <c r="E15" s="534">
        <v>2420.3</v>
      </c>
      <c r="F15" s="566">
        <f t="shared" si="3"/>
        <v>0.16586599414743797</v>
      </c>
      <c r="G15" s="534">
        <v>3772.7</v>
      </c>
      <c r="H15" s="566">
        <f t="shared" si="0"/>
        <v>0.25854755035327814</v>
      </c>
      <c r="I15" s="534">
        <v>543.3</v>
      </c>
      <c r="J15" s="50">
        <f t="shared" si="1"/>
        <v>0.03723298542341984</v>
      </c>
      <c r="K15" s="51">
        <f t="shared" si="2"/>
        <v>14591.900000000001</v>
      </c>
      <c r="L15" s="6"/>
      <c r="N15" s="17"/>
    </row>
    <row r="16" spans="1:14" ht="12.75">
      <c r="A16" s="6"/>
      <c r="B16" s="45">
        <v>2000</v>
      </c>
      <c r="C16" s="49">
        <v>8375.016653115</v>
      </c>
      <c r="D16" s="566">
        <f t="shared" si="3"/>
        <v>0.5387388632962289</v>
      </c>
      <c r="E16" s="534">
        <v>2693.3458028849996</v>
      </c>
      <c r="F16" s="566">
        <f t="shared" si="3"/>
        <v>0.17325458759180443</v>
      </c>
      <c r="G16" s="534">
        <v>3936.241469000001</v>
      </c>
      <c r="H16" s="566">
        <f t="shared" si="0"/>
        <v>0.2532062134921011</v>
      </c>
      <c r="I16" s="534">
        <v>540.9919540000001</v>
      </c>
      <c r="J16" s="50">
        <f t="shared" si="1"/>
        <v>0.03480033561986563</v>
      </c>
      <c r="K16" s="51">
        <f t="shared" si="2"/>
        <v>15545.595879</v>
      </c>
      <c r="L16" s="6"/>
      <c r="N16" s="17"/>
    </row>
    <row r="17" spans="1:14" ht="12.75">
      <c r="A17" s="6"/>
      <c r="B17" s="45">
        <v>2001</v>
      </c>
      <c r="C17" s="49">
        <v>9280.560039965001</v>
      </c>
      <c r="D17" s="566">
        <f t="shared" si="3"/>
        <v>0.5581031344657368</v>
      </c>
      <c r="E17" s="534">
        <v>2762.2040670349998</v>
      </c>
      <c r="F17" s="566">
        <f t="shared" si="3"/>
        <v>0.1661100990896723</v>
      </c>
      <c r="G17" s="534">
        <v>4043.968830999999</v>
      </c>
      <c r="H17" s="566">
        <f t="shared" si="0"/>
        <v>0.24319132364250642</v>
      </c>
      <c r="I17" s="534">
        <v>542.021618</v>
      </c>
      <c r="J17" s="50">
        <f t="shared" si="1"/>
        <v>0.0325954428020845</v>
      </c>
      <c r="K17" s="51">
        <f t="shared" si="2"/>
        <v>16628.754556</v>
      </c>
      <c r="L17" s="6"/>
      <c r="N17" s="17"/>
    </row>
    <row r="18" spans="1:14" ht="12.75">
      <c r="A18" s="6"/>
      <c r="B18" s="45">
        <v>2002</v>
      </c>
      <c r="C18" s="49">
        <v>9567.606076848</v>
      </c>
      <c r="D18" s="566">
        <f t="shared" si="3"/>
        <v>0.5434495305119252</v>
      </c>
      <c r="E18" s="534">
        <v>3013.11527</v>
      </c>
      <c r="F18" s="566">
        <f t="shared" si="3"/>
        <v>0.17114794084407697</v>
      </c>
      <c r="G18" s="534">
        <v>4464.875400000001</v>
      </c>
      <c r="H18" s="566">
        <f t="shared" si="0"/>
        <v>0.2536093585411934</v>
      </c>
      <c r="I18" s="534">
        <v>559.7291200000001</v>
      </c>
      <c r="J18" s="50">
        <f t="shared" si="1"/>
        <v>0.03179317010280436</v>
      </c>
      <c r="K18" s="51">
        <f t="shared" si="2"/>
        <v>17605.325866848</v>
      </c>
      <c r="L18" s="6"/>
      <c r="N18" s="17"/>
    </row>
    <row r="19" spans="1:14" ht="12.75">
      <c r="A19" s="6"/>
      <c r="B19" s="45">
        <v>2003</v>
      </c>
      <c r="C19" s="49">
        <v>10038.680803439998</v>
      </c>
      <c r="D19" s="566">
        <f t="shared" si="3"/>
        <v>0.5463127974512805</v>
      </c>
      <c r="E19" s="534">
        <v>3341.09110656</v>
      </c>
      <c r="F19" s="566">
        <f t="shared" si="3"/>
        <v>0.18182477007725067</v>
      </c>
      <c r="G19" s="534">
        <v>4425.337826999999</v>
      </c>
      <c r="H19" s="566">
        <f t="shared" si="0"/>
        <v>0.2408303177751089</v>
      </c>
      <c r="I19" s="534">
        <v>570.225511</v>
      </c>
      <c r="J19" s="50">
        <f t="shared" si="1"/>
        <v>0.03103211469635985</v>
      </c>
      <c r="K19" s="51">
        <f t="shared" si="2"/>
        <v>18375.335248</v>
      </c>
      <c r="L19" s="6"/>
      <c r="N19" s="17"/>
    </row>
    <row r="20" spans="1:14" ht="12.75">
      <c r="A20" s="6"/>
      <c r="B20" s="45">
        <v>2004</v>
      </c>
      <c r="C20" s="49">
        <v>11074.758817645607</v>
      </c>
      <c r="D20" s="566">
        <f t="shared" si="3"/>
        <v>0.5638692299771525</v>
      </c>
      <c r="E20" s="534">
        <v>3243.4254471762724</v>
      </c>
      <c r="F20" s="566">
        <f t="shared" si="3"/>
        <v>0.16513838716502063</v>
      </c>
      <c r="G20" s="534">
        <v>4720.009164178123</v>
      </c>
      <c r="H20" s="566">
        <f t="shared" si="0"/>
        <v>0.24031836509610105</v>
      </c>
      <c r="I20" s="534">
        <v>602.4576809999999</v>
      </c>
      <c r="J20" s="50">
        <f t="shared" si="1"/>
        <v>0.030674017761725812</v>
      </c>
      <c r="K20" s="51">
        <f t="shared" si="2"/>
        <v>19640.651110000003</v>
      </c>
      <c r="L20" s="6"/>
      <c r="N20" s="17"/>
    </row>
    <row r="21" spans="1:14" ht="12.75">
      <c r="A21" s="6"/>
      <c r="B21" s="45">
        <v>2005</v>
      </c>
      <c r="C21" s="49">
        <v>11588.277687039452</v>
      </c>
      <c r="D21" s="566">
        <f t="shared" si="3"/>
        <v>0.5597827813769248</v>
      </c>
      <c r="E21" s="534">
        <v>3460.342893311222</v>
      </c>
      <c r="F21" s="566">
        <f t="shared" si="3"/>
        <v>0.16715515641310993</v>
      </c>
      <c r="G21" s="534">
        <v>5020.735608899325</v>
      </c>
      <c r="H21" s="566">
        <f t="shared" si="0"/>
        <v>0.2425314114496214</v>
      </c>
      <c r="I21" s="534">
        <v>632.0266909722222</v>
      </c>
      <c r="J21" s="50">
        <f t="shared" si="1"/>
        <v>0.03053065076034368</v>
      </c>
      <c r="K21" s="51">
        <f t="shared" si="2"/>
        <v>20701.382880222223</v>
      </c>
      <c r="L21" s="6"/>
      <c r="N21" s="17"/>
    </row>
    <row r="22" spans="1:14" ht="12.75">
      <c r="A22" s="6"/>
      <c r="B22" s="45">
        <v>2006</v>
      </c>
      <c r="C22" s="49">
        <v>12481.42189750605</v>
      </c>
      <c r="D22" s="566">
        <f t="shared" si="3"/>
        <v>0.5599545829790685</v>
      </c>
      <c r="E22" s="534">
        <v>3760.348472826244</v>
      </c>
      <c r="F22" s="566">
        <f t="shared" si="3"/>
        <v>0.16870067995843707</v>
      </c>
      <c r="G22" s="534">
        <v>5404.368964667703</v>
      </c>
      <c r="H22" s="566">
        <f t="shared" si="0"/>
        <v>0.24245644404346256</v>
      </c>
      <c r="I22" s="534">
        <v>643.9218179999998</v>
      </c>
      <c r="J22" s="50">
        <f t="shared" si="1"/>
        <v>0.028888293019031713</v>
      </c>
      <c r="K22" s="51">
        <f aca="true" t="shared" si="4" ref="K22:K29">C22+E22+G22+I22</f>
        <v>22290.061153</v>
      </c>
      <c r="L22" s="6"/>
      <c r="N22" s="17"/>
    </row>
    <row r="23" spans="1:14" ht="12.75">
      <c r="A23" s="6"/>
      <c r="B23" s="45">
        <v>2007</v>
      </c>
      <c r="C23" s="49">
        <v>14165.658529274375</v>
      </c>
      <c r="D23" s="566">
        <f t="shared" si="3"/>
        <v>0.5730039078305956</v>
      </c>
      <c r="E23" s="534">
        <v>4023.5192699368326</v>
      </c>
      <c r="F23" s="566">
        <f t="shared" si="3"/>
        <v>0.16275221234092582</v>
      </c>
      <c r="G23" s="534">
        <v>5877.1253377888</v>
      </c>
      <c r="H23" s="566">
        <f t="shared" si="0"/>
        <v>0.23773097300092091</v>
      </c>
      <c r="I23" s="534">
        <v>655.445416</v>
      </c>
      <c r="J23" s="50">
        <f t="shared" si="1"/>
        <v>0.02651290682755776</v>
      </c>
      <c r="K23" s="51">
        <f t="shared" si="4"/>
        <v>24721.748553000005</v>
      </c>
      <c r="L23" s="6"/>
      <c r="N23" s="17"/>
    </row>
    <row r="24" spans="1:14" ht="12.75">
      <c r="A24" s="6"/>
      <c r="B24" s="45">
        <v>2008</v>
      </c>
      <c r="C24" s="49">
        <v>15437.253867346535</v>
      </c>
      <c r="D24" s="566">
        <f t="shared" si="3"/>
        <v>0.5725046917813132</v>
      </c>
      <c r="E24" s="534">
        <v>4494.896012311768</v>
      </c>
      <c r="F24" s="566">
        <f t="shared" si="3"/>
        <v>0.16669733349147337</v>
      </c>
      <c r="G24" s="534">
        <v>6357.319264341718</v>
      </c>
      <c r="H24" s="566">
        <f t="shared" si="0"/>
        <v>0.2357670047576253</v>
      </c>
      <c r="I24" s="534">
        <v>674.9454520000002</v>
      </c>
      <c r="J24" s="50">
        <f t="shared" si="1"/>
        <v>0.02503096996958812</v>
      </c>
      <c r="K24" s="51">
        <f t="shared" si="4"/>
        <v>26964.41459600002</v>
      </c>
      <c r="L24" s="6"/>
      <c r="N24" s="17"/>
    </row>
    <row r="25" spans="1:14" ht="12.75">
      <c r="A25" s="6"/>
      <c r="B25" s="45">
        <v>2009</v>
      </c>
      <c r="C25" s="49">
        <v>14942.95020594519</v>
      </c>
      <c r="D25" s="566">
        <f t="shared" si="3"/>
        <v>0.5516648952994828</v>
      </c>
      <c r="E25" s="534">
        <v>4815.08100910374</v>
      </c>
      <c r="F25" s="566">
        <f t="shared" si="3"/>
        <v>0.1777635021288437</v>
      </c>
      <c r="G25" s="534">
        <v>6644.5992379510635</v>
      </c>
      <c r="H25" s="566">
        <f t="shared" si="0"/>
        <v>0.24530578583156273</v>
      </c>
      <c r="I25" s="534">
        <v>684.375324</v>
      </c>
      <c r="J25" s="50">
        <f t="shared" si="1"/>
        <v>0.025265816740110636</v>
      </c>
      <c r="K25" s="51">
        <f t="shared" si="4"/>
        <v>27087.005776999995</v>
      </c>
      <c r="L25" s="6"/>
      <c r="N25" s="17"/>
    </row>
    <row r="26" spans="1:15" ht="12.75">
      <c r="A26" s="6"/>
      <c r="B26" s="45">
        <v>2010</v>
      </c>
      <c r="C26" s="49">
        <v>16434.708415297537</v>
      </c>
      <c r="D26" s="566">
        <f t="shared" si="3"/>
        <v>0.5583167088137729</v>
      </c>
      <c r="E26" s="534">
        <v>5205.824371189548</v>
      </c>
      <c r="F26" s="566">
        <f t="shared" si="3"/>
        <v>0.17685125017975306</v>
      </c>
      <c r="G26" s="534">
        <v>7086.245333512921</v>
      </c>
      <c r="H26" s="566">
        <f t="shared" si="0"/>
        <v>0.24073254434932814</v>
      </c>
      <c r="I26" s="534">
        <v>709.3970040000002</v>
      </c>
      <c r="J26" s="50">
        <f t="shared" si="1"/>
        <v>0.024099496657145926</v>
      </c>
      <c r="K26" s="51">
        <f t="shared" si="4"/>
        <v>29436.175124000005</v>
      </c>
      <c r="L26" s="6"/>
      <c r="N26" s="17"/>
      <c r="O26" s="16"/>
    </row>
    <row r="27" spans="1:15" ht="12.75">
      <c r="A27" s="6"/>
      <c r="B27" s="45">
        <v>2011</v>
      </c>
      <c r="C27" s="49">
        <v>17841.423398594416</v>
      </c>
      <c r="D27" s="566">
        <f>+C27/$K27</f>
        <v>0.5606922283097572</v>
      </c>
      <c r="E27" s="534">
        <v>5563.117986117448</v>
      </c>
      <c r="F27" s="566">
        <f>+E27/$K27</f>
        <v>0.1748289332246898</v>
      </c>
      <c r="G27" s="534">
        <v>7663.0902881815</v>
      </c>
      <c r="H27" s="566">
        <f>+G27/$K27</f>
        <v>0.24082356398525034</v>
      </c>
      <c r="I27" s="534">
        <v>752.7191323577373</v>
      </c>
      <c r="J27" s="50">
        <f>+I27/$K27</f>
        <v>0.023655274480302746</v>
      </c>
      <c r="K27" s="51">
        <f t="shared" si="4"/>
        <v>31820.3508052511</v>
      </c>
      <c r="L27" s="6"/>
      <c r="N27" s="17"/>
      <c r="O27" s="16"/>
    </row>
    <row r="28" spans="1:15" ht="12.75">
      <c r="A28" s="6"/>
      <c r="B28" s="45">
        <v>2012</v>
      </c>
      <c r="C28" s="49">
        <v>18690.461999999996</v>
      </c>
      <c r="D28" s="566">
        <f>+C28/$K28</f>
        <v>0.5554671505917138</v>
      </c>
      <c r="E28" s="534">
        <v>6061.772</v>
      </c>
      <c r="F28" s="566">
        <f>+E28/$K28</f>
        <v>0.18015152436449322</v>
      </c>
      <c r="G28" s="534">
        <v>8110.438</v>
      </c>
      <c r="H28" s="566">
        <f>+G28/$K28</f>
        <v>0.24103641129420764</v>
      </c>
      <c r="I28" s="534">
        <v>785.5140000000001</v>
      </c>
      <c r="J28" s="50">
        <f>+I28/$K28</f>
        <v>0.023344913749585194</v>
      </c>
      <c r="K28" s="51">
        <f t="shared" si="4"/>
        <v>33648.186</v>
      </c>
      <c r="L28" s="6"/>
      <c r="N28" s="17"/>
      <c r="O28" s="16"/>
    </row>
    <row r="29" spans="1:15" ht="12.75">
      <c r="A29" s="6"/>
      <c r="B29" s="45">
        <v>2013</v>
      </c>
      <c r="C29" s="534">
        <v>19214.618997431797</v>
      </c>
      <c r="D29" s="566">
        <f>+C29/$K29</f>
        <v>0.5395901824213133</v>
      </c>
      <c r="E29" s="534">
        <v>6760.1032092000005</v>
      </c>
      <c r="F29" s="566">
        <f>+E29/$K29</f>
        <v>0.18983906599067507</v>
      </c>
      <c r="G29" s="534">
        <v>8757.884514745476</v>
      </c>
      <c r="H29" s="566">
        <f>+G29/$K29</f>
        <v>0.24594130664614966</v>
      </c>
      <c r="I29" s="534">
        <v>877.0459806227276</v>
      </c>
      <c r="J29" s="50">
        <f>+I29/$K29</f>
        <v>0.02462944494186175</v>
      </c>
      <c r="K29" s="51">
        <f t="shared" si="4"/>
        <v>35609.65270200001</v>
      </c>
      <c r="L29" s="6"/>
      <c r="N29" s="17"/>
      <c r="O29" s="16"/>
    </row>
    <row r="30" spans="1:14" ht="12.75">
      <c r="A30" s="6"/>
      <c r="B30" s="45">
        <v>2014</v>
      </c>
      <c r="C30" s="534">
        <v>20737.172222269885</v>
      </c>
      <c r="D30" s="566">
        <f>+C30/$K30</f>
        <v>0.5555720609970694</v>
      </c>
      <c r="E30" s="534">
        <v>6802.815063560147</v>
      </c>
      <c r="F30" s="566">
        <f>+E30/$K30</f>
        <v>0.18225503192692885</v>
      </c>
      <c r="G30" s="534">
        <v>8920.509661075615</v>
      </c>
      <c r="H30" s="566">
        <f>+G30/$K30</f>
        <v>0.23899044114731124</v>
      </c>
      <c r="I30" s="534">
        <v>865.3041112927644</v>
      </c>
      <c r="J30" s="50">
        <f>+I30/$K30</f>
        <v>0.0231824659286905</v>
      </c>
      <c r="K30" s="51">
        <f>C30+E30+G30+I30</f>
        <v>37325.80105819841</v>
      </c>
      <c r="L30" s="6"/>
      <c r="M30" s="20"/>
      <c r="N30" s="17"/>
    </row>
    <row r="31" spans="1:14" ht="13.5" thickBot="1">
      <c r="A31" s="6"/>
      <c r="B31" s="563"/>
      <c r="C31" s="534"/>
      <c r="D31" s="567"/>
      <c r="E31" s="534"/>
      <c r="F31" s="567"/>
      <c r="G31" s="534"/>
      <c r="H31" s="566"/>
      <c r="I31" s="534"/>
      <c r="J31" s="50"/>
      <c r="K31" s="51"/>
      <c r="L31" s="6"/>
      <c r="M31" s="20"/>
      <c r="N31" s="17"/>
    </row>
    <row r="32" spans="1:14" ht="12.75">
      <c r="A32" s="6"/>
      <c r="B32" s="141" t="s">
        <v>273</v>
      </c>
      <c r="C32" s="52">
        <f>(C30/C29)-1</f>
        <v>0.0792393138287879</v>
      </c>
      <c r="D32" s="31"/>
      <c r="E32" s="52">
        <f>(E30/E29)-1</f>
        <v>0.006318225186564996</v>
      </c>
      <c r="F32" s="31"/>
      <c r="G32" s="52">
        <f>(G30/G29)-1</f>
        <v>0.01856899871839257</v>
      </c>
      <c r="H32" s="31"/>
      <c r="I32" s="52">
        <f>(I30/I29)-1</f>
        <v>-0.013387974620927001</v>
      </c>
      <c r="J32" s="243"/>
      <c r="K32" s="35">
        <f>(K30/K29)-1</f>
        <v>0.0481933471960545</v>
      </c>
      <c r="L32" s="20"/>
      <c r="M32" s="20"/>
      <c r="N32" s="17"/>
    </row>
    <row r="33" spans="1:14" ht="12.75">
      <c r="A33" s="6"/>
      <c r="B33" s="112" t="s">
        <v>274</v>
      </c>
      <c r="C33" s="53">
        <f>((C30/C25)^(1/5))-1</f>
        <v>0.06773293005311554</v>
      </c>
      <c r="D33" s="33"/>
      <c r="E33" s="53">
        <f>((E30/E25)^(1/5))-1</f>
        <v>0.07156128241564996</v>
      </c>
      <c r="F33" s="110"/>
      <c r="G33" s="53">
        <f>((G30/G25)^(1/5))-1</f>
        <v>0.06067949987408672</v>
      </c>
      <c r="H33" s="33"/>
      <c r="I33" s="53">
        <f>((I30/I25)^(1/5))-1</f>
        <v>0.048032824496447635</v>
      </c>
      <c r="J33" s="109"/>
      <c r="K33" s="36">
        <f>((K30/K25)^(1/5))-1</f>
        <v>0.06622688064817872</v>
      </c>
      <c r="L33" s="6"/>
      <c r="M33" s="20"/>
      <c r="N33" s="17"/>
    </row>
    <row r="34" spans="1:14" ht="12.75">
      <c r="A34" s="6"/>
      <c r="B34" s="143" t="s">
        <v>275</v>
      </c>
      <c r="C34" s="53">
        <f>+C30/C20-1</f>
        <v>0.8724716775979795</v>
      </c>
      <c r="D34" s="33"/>
      <c r="E34" s="53">
        <f>+E30/E20-1</f>
        <v>1.0974168126733668</v>
      </c>
      <c r="F34" s="33"/>
      <c r="G34" s="53">
        <f>+G30/G20-1</f>
        <v>0.8899348180881996</v>
      </c>
      <c r="H34" s="55"/>
      <c r="I34" s="53">
        <f>+I30/I20-1</f>
        <v>0.43629027993547087</v>
      </c>
      <c r="J34" s="244"/>
      <c r="K34" s="36">
        <f>+K30/K20-1</f>
        <v>0.9004360318377658</v>
      </c>
      <c r="L34" s="6"/>
      <c r="N34" s="17"/>
    </row>
    <row r="35" spans="1:14" ht="13.5" thickBot="1">
      <c r="A35" s="6"/>
      <c r="B35" s="142" t="s">
        <v>276</v>
      </c>
      <c r="C35" s="245">
        <f>+(C30/C20)^(1/10)-1</f>
        <v>0.06473498847609593</v>
      </c>
      <c r="D35" s="294"/>
      <c r="E35" s="245">
        <f>+(E30/E20)^(1/10)-1</f>
        <v>0.07688288440631985</v>
      </c>
      <c r="F35" s="294"/>
      <c r="G35" s="245">
        <f>+(G30/G20)^(1/10)-1</f>
        <v>0.06572384405151821</v>
      </c>
      <c r="H35" s="294"/>
      <c r="I35" s="245">
        <f>+(I30/I20)^(1/10)-1</f>
        <v>0.03686979234713461</v>
      </c>
      <c r="J35" s="295"/>
      <c r="K35" s="296">
        <f>+(K30/K20)^(1/10)-1</f>
        <v>0.06631452628939205</v>
      </c>
      <c r="L35" s="6"/>
      <c r="N35" s="17"/>
    </row>
    <row r="36" spans="2:14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14"/>
      <c r="M36" s="14"/>
      <c r="N36" s="17"/>
    </row>
    <row r="37" spans="4:14" ht="15.75">
      <c r="D37" s="16"/>
      <c r="E37" s="16"/>
      <c r="F37" s="16"/>
      <c r="G37" s="16"/>
      <c r="H37" s="16"/>
      <c r="I37" s="13"/>
      <c r="J37" s="13"/>
      <c r="K37" s="14"/>
      <c r="N37" s="17"/>
    </row>
    <row r="38" ht="12.75">
      <c r="N38" s="18"/>
    </row>
    <row r="57" spans="15:38" ht="12.75">
      <c r="O57" s="81"/>
      <c r="P57" s="125">
        <v>1992</v>
      </c>
      <c r="Q57" s="125">
        <v>1993</v>
      </c>
      <c r="R57" s="125">
        <v>1994</v>
      </c>
      <c r="S57" s="125">
        <v>1995</v>
      </c>
      <c r="T57" s="125">
        <v>1996</v>
      </c>
      <c r="U57" s="125">
        <v>1997</v>
      </c>
      <c r="V57" s="125">
        <v>1998</v>
      </c>
      <c r="W57" s="125">
        <v>1999</v>
      </c>
      <c r="X57" s="125">
        <v>2000</v>
      </c>
      <c r="Y57" s="125">
        <v>2001</v>
      </c>
      <c r="Z57" s="125">
        <v>2002</v>
      </c>
      <c r="AA57" s="125">
        <v>2003</v>
      </c>
      <c r="AB57" s="125">
        <v>2004</v>
      </c>
      <c r="AC57" s="125">
        <v>2005</v>
      </c>
      <c r="AD57" s="125">
        <v>2006</v>
      </c>
      <c r="AE57" s="125">
        <v>2007</v>
      </c>
      <c r="AF57" s="125">
        <v>2008</v>
      </c>
      <c r="AG57" s="125">
        <v>2009</v>
      </c>
      <c r="AH57" s="125">
        <v>2010</v>
      </c>
      <c r="AI57" s="125">
        <v>2011</v>
      </c>
      <c r="AJ57" s="125">
        <v>2012</v>
      </c>
      <c r="AK57" s="125">
        <v>2013</v>
      </c>
      <c r="AL57" s="125">
        <v>2014</v>
      </c>
    </row>
    <row r="58" spans="15:38" ht="12.75">
      <c r="O58" s="89" t="s">
        <v>40</v>
      </c>
      <c r="P58" s="94">
        <v>3109.254</v>
      </c>
      <c r="Q58" s="94">
        <v>3174.6043</v>
      </c>
      <c r="R58" s="94">
        <v>3855.262488</v>
      </c>
      <c r="S58" s="94">
        <v>3963.76629</v>
      </c>
      <c r="T58" s="94">
        <v>4305.296401</v>
      </c>
      <c r="U58" s="94">
        <v>6058.131118</v>
      </c>
      <c r="V58" s="94">
        <v>7473.848437</v>
      </c>
      <c r="W58" s="94">
        <v>7855.6</v>
      </c>
      <c r="X58" s="94">
        <v>8375.016653115</v>
      </c>
      <c r="Y58" s="94">
        <v>9280.560039965001</v>
      </c>
      <c r="Z58" s="94">
        <v>9567.606076848</v>
      </c>
      <c r="AA58" s="94">
        <v>10038.680803439998</v>
      </c>
      <c r="AB58" s="94">
        <v>11074.758817645607</v>
      </c>
      <c r="AC58" s="84">
        <v>11588.277687039452</v>
      </c>
      <c r="AD58" s="95">
        <v>12481.42189750605</v>
      </c>
      <c r="AE58" s="95">
        <v>14165.658529274375</v>
      </c>
      <c r="AF58" s="95">
        <v>15437.253867346535</v>
      </c>
      <c r="AG58" s="95">
        <v>14942.95020594519</v>
      </c>
      <c r="AH58" s="95">
        <v>16434.708415297537</v>
      </c>
      <c r="AI58" s="95">
        <f>$C27</f>
        <v>17841.423398594416</v>
      </c>
      <c r="AJ58" s="95">
        <f>$C28</f>
        <v>18690.461999999996</v>
      </c>
      <c r="AK58" s="95">
        <f>C29</f>
        <v>19214.618997431797</v>
      </c>
      <c r="AL58" s="95">
        <v>20737.172222269885</v>
      </c>
    </row>
    <row r="59" spans="15:38" ht="12.75">
      <c r="O59" s="89" t="s">
        <v>41</v>
      </c>
      <c r="P59" s="94">
        <v>1020.6469999999999</v>
      </c>
      <c r="Q59" s="94">
        <v>1601.7885</v>
      </c>
      <c r="R59" s="94">
        <v>1848.285648</v>
      </c>
      <c r="S59" s="94">
        <v>2248.668505</v>
      </c>
      <c r="T59" s="94">
        <v>2350.988429</v>
      </c>
      <c r="U59" s="94">
        <v>2480.103368</v>
      </c>
      <c r="V59" s="94">
        <v>2360.432139</v>
      </c>
      <c r="W59" s="94">
        <v>2420.3</v>
      </c>
      <c r="X59" s="94">
        <v>2693.3458028849996</v>
      </c>
      <c r="Y59" s="94">
        <v>2762.2040670349998</v>
      </c>
      <c r="Z59" s="94">
        <v>3013.11527</v>
      </c>
      <c r="AA59" s="94">
        <v>3341.09110656</v>
      </c>
      <c r="AB59" s="94">
        <v>3243.4254471762724</v>
      </c>
      <c r="AC59" s="84">
        <v>3460.342893311222</v>
      </c>
      <c r="AD59" s="95">
        <v>3760.348472826244</v>
      </c>
      <c r="AE59" s="95">
        <v>4023.5192699368326</v>
      </c>
      <c r="AF59" s="95">
        <v>4494.896012311768</v>
      </c>
      <c r="AG59" s="95">
        <v>4815.08100910374</v>
      </c>
      <c r="AH59" s="95">
        <v>5205.824371189548</v>
      </c>
      <c r="AI59" s="95">
        <f>$E27</f>
        <v>5563.117986117448</v>
      </c>
      <c r="AJ59" s="95">
        <f>$E28</f>
        <v>6061.772</v>
      </c>
      <c r="AK59" s="95">
        <f>E29</f>
        <v>6760.1032092000005</v>
      </c>
      <c r="AL59" s="95">
        <v>6802.815063560147</v>
      </c>
    </row>
    <row r="60" spans="15:38" ht="12.75">
      <c r="O60" s="89" t="s">
        <v>42</v>
      </c>
      <c r="P60" s="94">
        <v>2748.592</v>
      </c>
      <c r="Q60" s="94">
        <v>3063.5259</v>
      </c>
      <c r="R60" s="94">
        <v>3136.4847360000003</v>
      </c>
      <c r="S60" s="94">
        <v>3154.1445019999996</v>
      </c>
      <c r="T60" s="94">
        <v>3185.061631</v>
      </c>
      <c r="U60" s="94">
        <v>3385.523</v>
      </c>
      <c r="V60" s="94">
        <v>3639.3</v>
      </c>
      <c r="W60" s="94">
        <v>3772.7</v>
      </c>
      <c r="X60" s="94">
        <v>3936.241469000001</v>
      </c>
      <c r="Y60" s="94">
        <v>4043.968830999999</v>
      </c>
      <c r="Z60" s="94">
        <v>4464.875400000001</v>
      </c>
      <c r="AA60" s="94">
        <v>4425.337826999999</v>
      </c>
      <c r="AB60" s="94">
        <v>4720.009164178123</v>
      </c>
      <c r="AC60" s="84">
        <v>5020.735608899325</v>
      </c>
      <c r="AD60" s="95">
        <v>5404.368964667703</v>
      </c>
      <c r="AE60" s="95">
        <v>5877.1253377888</v>
      </c>
      <c r="AF60" s="95">
        <v>6357.319264341718</v>
      </c>
      <c r="AG60" s="95">
        <v>6644.5992379510635</v>
      </c>
      <c r="AH60" s="95">
        <v>7086.245333512921</v>
      </c>
      <c r="AI60" s="95">
        <f>$G27</f>
        <v>7663.0902881815</v>
      </c>
      <c r="AJ60" s="95">
        <f>$G28</f>
        <v>8110.438</v>
      </c>
      <c r="AK60" s="95">
        <f>G29</f>
        <v>8757.884514745476</v>
      </c>
      <c r="AL60" s="95">
        <v>8920.509661075615</v>
      </c>
    </row>
    <row r="61" spans="15:38" ht="12.75">
      <c r="O61" s="89" t="s">
        <v>43</v>
      </c>
      <c r="P61" s="94">
        <v>382.728</v>
      </c>
      <c r="Q61" s="94">
        <v>471.45322</v>
      </c>
      <c r="R61" s="94">
        <v>494.74312799999996</v>
      </c>
      <c r="S61" s="94">
        <v>482.67683</v>
      </c>
      <c r="T61" s="94">
        <v>489.44557</v>
      </c>
      <c r="U61" s="94">
        <v>527.473</v>
      </c>
      <c r="V61" s="94">
        <v>535.0651</v>
      </c>
      <c r="W61" s="94">
        <v>543.3</v>
      </c>
      <c r="X61" s="94">
        <v>540.9919540000001</v>
      </c>
      <c r="Y61" s="94">
        <v>542.021618</v>
      </c>
      <c r="Z61" s="94">
        <v>559.7291200000001</v>
      </c>
      <c r="AA61" s="94">
        <v>570.225511</v>
      </c>
      <c r="AB61" s="94">
        <v>602.4576809999999</v>
      </c>
      <c r="AC61" s="84">
        <v>632.0266909722222</v>
      </c>
      <c r="AD61" s="95">
        <v>643.9218179999998</v>
      </c>
      <c r="AE61" s="95">
        <v>655.445416</v>
      </c>
      <c r="AF61" s="95">
        <v>674.9454520000002</v>
      </c>
      <c r="AG61" s="95">
        <v>684.375324</v>
      </c>
      <c r="AH61" s="95">
        <v>709.3970040000002</v>
      </c>
      <c r="AI61" s="95">
        <f>$I27</f>
        <v>752.7191323577373</v>
      </c>
      <c r="AJ61" s="95">
        <f>$I28</f>
        <v>785.5140000000001</v>
      </c>
      <c r="AK61" s="95">
        <f>I29</f>
        <v>877.0459806227276</v>
      </c>
      <c r="AL61" s="95">
        <v>865.3041112927644</v>
      </c>
    </row>
    <row r="62" spans="15:38" ht="12.75">
      <c r="O62" s="89" t="s">
        <v>3</v>
      </c>
      <c r="P62" s="94">
        <f>SUM(P58:P61)</f>
        <v>7261.2210000000005</v>
      </c>
      <c r="Q62" s="94">
        <f aca="true" t="shared" si="5" ref="Q62:AH62">SUM(Q58:Q61)</f>
        <v>8311.37192</v>
      </c>
      <c r="R62" s="94">
        <f t="shared" si="5"/>
        <v>9334.776</v>
      </c>
      <c r="S62" s="94">
        <f t="shared" si="5"/>
        <v>9849.256127</v>
      </c>
      <c r="T62" s="94">
        <f t="shared" si="5"/>
        <v>10330.792030999999</v>
      </c>
      <c r="U62" s="94">
        <f t="shared" si="5"/>
        <v>12451.230486000002</v>
      </c>
      <c r="V62" s="94">
        <f t="shared" si="5"/>
        <v>14008.645676</v>
      </c>
      <c r="W62" s="94">
        <f t="shared" si="5"/>
        <v>14591.900000000001</v>
      </c>
      <c r="X62" s="94">
        <f t="shared" si="5"/>
        <v>15545.595879</v>
      </c>
      <c r="Y62" s="94">
        <f t="shared" si="5"/>
        <v>16628.754556</v>
      </c>
      <c r="Z62" s="94">
        <f t="shared" si="5"/>
        <v>17605.325866848</v>
      </c>
      <c r="AA62" s="94">
        <f t="shared" si="5"/>
        <v>18375.335248</v>
      </c>
      <c r="AB62" s="94">
        <f t="shared" si="5"/>
        <v>19640.651110000003</v>
      </c>
      <c r="AC62" s="84">
        <f t="shared" si="5"/>
        <v>20701.382880222223</v>
      </c>
      <c r="AD62" s="95">
        <f t="shared" si="5"/>
        <v>22290.061153</v>
      </c>
      <c r="AE62" s="95">
        <f t="shared" si="5"/>
        <v>24721.748553000005</v>
      </c>
      <c r="AF62" s="95">
        <f t="shared" si="5"/>
        <v>26964.41459600002</v>
      </c>
      <c r="AG62" s="95">
        <f t="shared" si="5"/>
        <v>27087.005776999995</v>
      </c>
      <c r="AH62" s="95">
        <f t="shared" si="5"/>
        <v>29436.175124000005</v>
      </c>
      <c r="AI62" s="95">
        <f>SUM(AI58:AI61)</f>
        <v>31820.3508052511</v>
      </c>
      <c r="AJ62" s="95">
        <f>SUM(AJ58:AJ61)</f>
        <v>33648.186</v>
      </c>
      <c r="AK62" s="95">
        <f>SUM(AK58:AK61)</f>
        <v>35609.65270200001</v>
      </c>
      <c r="AL62" s="95">
        <f>SUM(AL58:AL61)</f>
        <v>37325.80105819841</v>
      </c>
    </row>
    <row r="65" spans="16:38" ht="12.75">
      <c r="P65">
        <v>7261.2210000000005</v>
      </c>
      <c r="Q65">
        <v>8311.37192</v>
      </c>
      <c r="R65">
        <v>9334.776</v>
      </c>
      <c r="S65">
        <v>9849.256127</v>
      </c>
      <c r="T65">
        <v>10330.792030999999</v>
      </c>
      <c r="U65">
        <v>12451.230486000002</v>
      </c>
      <c r="V65">
        <v>14008.645676</v>
      </c>
      <c r="W65">
        <v>14591.900000000001</v>
      </c>
      <c r="X65">
        <v>15545.595879</v>
      </c>
      <c r="Y65">
        <v>16628.754556</v>
      </c>
      <c r="Z65">
        <v>17605.325866848</v>
      </c>
      <c r="AA65">
        <v>18375.335248</v>
      </c>
      <c r="AB65">
        <v>19640.651110000003</v>
      </c>
      <c r="AC65">
        <v>20701.382880222223</v>
      </c>
      <c r="AD65">
        <v>22290.061153</v>
      </c>
      <c r="AE65">
        <v>24721.748553000005</v>
      </c>
      <c r="AF65">
        <v>26964.41459600002</v>
      </c>
      <c r="AG65">
        <v>27087.005776999995</v>
      </c>
      <c r="AH65">
        <v>29436.175124000005</v>
      </c>
      <c r="AI65">
        <v>31820.3508052511</v>
      </c>
      <c r="AJ65">
        <v>33648.186</v>
      </c>
      <c r="AK65">
        <v>35609.65270200001</v>
      </c>
      <c r="AL65">
        <v>37325.80105819841</v>
      </c>
    </row>
  </sheetData>
  <sheetProtection/>
  <mergeCells count="6">
    <mergeCell ref="I6:J7"/>
    <mergeCell ref="K6:K7"/>
    <mergeCell ref="C6:D7"/>
    <mergeCell ref="B6:B7"/>
    <mergeCell ref="E6:F7"/>
    <mergeCell ref="G6:H7"/>
  </mergeCells>
  <printOptions/>
  <pageMargins left="0.9" right="0.21" top="0.94" bottom="1" header="0" footer="0"/>
  <pageSetup fitToHeight="1" fitToWidth="1" horizontalDpi="600" verticalDpi="600" orientation="portrait" paperSize="9" scale="76" r:id="rId2"/>
  <ignoredErrors>
    <ignoredError sqref="I10 I13 G10 G13 E8:E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Evoluciones 2002</dc:title>
  <dc:subject/>
  <dc:creator>POCHOA</dc:creator>
  <cp:keywords/>
  <dc:description>Contiene Pot.; Prod.; Incre. y Crec. Med; Vent. y Núm.Clien.</dc:description>
  <cp:lastModifiedBy>Sandoval Micha Ysela Aracely</cp:lastModifiedBy>
  <cp:lastPrinted>2015-10-26T15:11:47Z</cp:lastPrinted>
  <dcterms:created xsi:type="dcterms:W3CDTF">2001-10-29T20:06:41Z</dcterms:created>
  <dcterms:modified xsi:type="dcterms:W3CDTF">2015-10-26T15:12:30Z</dcterms:modified>
  <cp:category/>
  <cp:version/>
  <cp:contentType/>
  <cp:contentStatus/>
</cp:coreProperties>
</file>